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80" windowHeight="11025" activeTab="4"/>
  </bookViews>
  <sheets>
    <sheet name="BIỂU 01" sheetId="1" r:id="rId1"/>
    <sheet name="BIỂU 02" sheetId="2" r:id="rId2"/>
    <sheet name="BIỂU 03" sheetId="3" r:id="rId3"/>
    <sheet name="BIỂU 04" sheetId="4" r:id="rId4"/>
    <sheet name="BIỂU 05" sheetId="5" r:id="rId5"/>
  </sheets>
  <externalReferences>
    <externalReference r:id="rId8"/>
    <externalReference r:id="rId9"/>
  </externalReferences>
  <definedNames>
    <definedName name="_xlnm.Print_Area" localSheetId="0">'BIỂU 01'!$A$1:$N$132</definedName>
    <definedName name="_xlnm.Print_Area" localSheetId="1">'BIỂU 02'!$A$1:$N$155</definedName>
    <definedName name="_xlnm.Print_Area" localSheetId="2">'BIỂU 03'!$A$1:$P$110</definedName>
    <definedName name="_xlnm.Print_Area" localSheetId="3">'BIỂU 04'!$A$1:$N$101</definedName>
    <definedName name="_xlnm.Print_Area" localSheetId="4">'BIỂU 05'!$A$1:$N$97</definedName>
    <definedName name="_xlnm.Print_Titles" localSheetId="0">'BIỂU 01'!$5:$8</definedName>
    <definedName name="_xlnm.Print_Titles" localSheetId="1">'BIỂU 02'!$5:$8</definedName>
    <definedName name="_xlnm.Print_Titles" localSheetId="2">'BIỂU 03'!$5:$8</definedName>
    <definedName name="_xlnm.Print_Titles" localSheetId="3">'BIỂU 04'!$5:$8</definedName>
    <definedName name="_xlnm.Print_Titles" localSheetId="4">'BIỂU 05'!$5:$8</definedName>
  </definedNames>
  <calcPr calcMode="manual" fullCalcOnLoad="1"/>
</workbook>
</file>

<file path=xl/sharedStrings.xml><?xml version="1.0" encoding="utf-8"?>
<sst xmlns="http://schemas.openxmlformats.org/spreadsheetml/2006/main" count="1273" uniqueCount="707">
  <si>
    <t>Biểu số: 01</t>
  </si>
  <si>
    <t>Số TT</t>
  </si>
  <si>
    <t>Các chỉ tiêu chính</t>
  </si>
  <si>
    <t>Đơn vị tính</t>
  </si>
  <si>
    <t xml:space="preserve"> So sánh %</t>
  </si>
  <si>
    <t xml:space="preserve">Đơn vị </t>
  </si>
  <si>
    <t>Kế hoạch tỉnh giao</t>
  </si>
  <si>
    <t xml:space="preserve"> Kế hoạch huyện giao</t>
  </si>
  <si>
    <t>tính</t>
  </si>
  <si>
    <t>A</t>
  </si>
  <si>
    <t>B</t>
  </si>
  <si>
    <t>C</t>
  </si>
  <si>
    <t xml:space="preserve"> NÔNG NGHIỆP</t>
  </si>
  <si>
    <t xml:space="preserve"> </t>
  </si>
  <si>
    <t>I</t>
  </si>
  <si>
    <t>CÂY TRỒNG NÔNG NGHIỆP</t>
  </si>
  <si>
    <t>ha</t>
  </si>
  <si>
    <t>Diện tích cây lương thực có hạt</t>
  </si>
  <si>
    <t>Tổng sản lượng lương thực có hạt:</t>
  </si>
  <si>
    <t>Tấn</t>
  </si>
  <si>
    <t xml:space="preserve"> - Sản lượng thóc</t>
  </si>
  <si>
    <t xml:space="preserve"> - Sản lượng thóc ruộng</t>
  </si>
  <si>
    <t xml:space="preserve"> - Cơ cấu thóc ruộng trong tổng SLLT</t>
  </si>
  <si>
    <t>%</t>
  </si>
  <si>
    <t xml:space="preserve"> + Lúa đông xuân:   DT</t>
  </si>
  <si>
    <t>NS</t>
  </si>
  <si>
    <t>Tạ/ha</t>
  </si>
  <si>
    <t>SL</t>
  </si>
  <si>
    <t xml:space="preserve"> + Lúa mùa:              DT</t>
  </si>
  <si>
    <t xml:space="preserve"> + Lúa nương:          DT</t>
  </si>
  <si>
    <t xml:space="preserve"> + Ngô cả năm:     DT</t>
  </si>
  <si>
    <t>Cây chất bột có củ (Khoai, sắn, dong riềng)</t>
  </si>
  <si>
    <t>Cây công nghiệp</t>
  </si>
  <si>
    <t>4.1</t>
  </si>
  <si>
    <t>Cây công nghiệp ngắn ngày</t>
  </si>
  <si>
    <t>4.2</t>
  </si>
  <si>
    <t>Cây công nghiệp dài ngày</t>
  </si>
  <si>
    <t xml:space="preserve"> - Cà phê:</t>
  </si>
  <si>
    <t xml:space="preserve"> + Diện tích trồng mới</t>
  </si>
  <si>
    <t>Ha</t>
  </si>
  <si>
    <t xml:space="preserve"> + Sản lượng cà phê nhân</t>
  </si>
  <si>
    <t xml:space="preserve"> - Cây cao su:   </t>
  </si>
  <si>
    <t xml:space="preserve"> + Diện tích chăm sóc</t>
  </si>
  <si>
    <t xml:space="preserve"> + Trồng mới </t>
  </si>
  <si>
    <t>Cây ăn quả các loại:</t>
  </si>
  <si>
    <t xml:space="preserve"> + DT trồng mới</t>
  </si>
  <si>
    <t>II</t>
  </si>
  <si>
    <t>CHĂN NUÔI</t>
  </si>
  <si>
    <t>Con</t>
  </si>
  <si>
    <t xml:space="preserve">Đàn trâu </t>
  </si>
  <si>
    <t xml:space="preserve">Đàn bò </t>
  </si>
  <si>
    <t xml:space="preserve">Đàn lợn </t>
  </si>
  <si>
    <t>Gia cầm các loại</t>
  </si>
  <si>
    <t>III</t>
  </si>
  <si>
    <t>THỦY SẢN</t>
  </si>
  <si>
    <t xml:space="preserve"> Diện tích nuôi  trồng</t>
  </si>
  <si>
    <t xml:space="preserve"> Tổng sản lượng thủy sản</t>
  </si>
  <si>
    <t xml:space="preserve">    + SL  nuôi trồng</t>
  </si>
  <si>
    <t xml:space="preserve">    + SL cá đánh bắt khai thác</t>
  </si>
  <si>
    <t>LÂM NGHIỆP</t>
  </si>
  <si>
    <t>Trồng rừng tập trung</t>
  </si>
  <si>
    <t>-</t>
  </si>
  <si>
    <t>Trồng rừng phòng hộ</t>
  </si>
  <si>
    <t>Trồng rừng thay thế</t>
  </si>
  <si>
    <t xml:space="preserve"> +</t>
  </si>
  <si>
    <t>Khoán bảo vệ rừng NĐ75</t>
  </si>
  <si>
    <t>Hỗ trợ bảo vệ NĐ 75</t>
  </si>
  <si>
    <t>Nguồn vốn DVMTR</t>
  </si>
  <si>
    <t>Khoanh nuôi  tái sinh rừng</t>
  </si>
  <si>
    <t>Mới</t>
  </si>
  <si>
    <t>Chuyển tiếp</t>
  </si>
  <si>
    <t>Độ che phủ rừng</t>
  </si>
  <si>
    <t>CÔNG NGHIỆP</t>
  </si>
  <si>
    <t>Tỷ đồng</t>
  </si>
  <si>
    <t xml:space="preserve"> - Công nghiệp khai thác</t>
  </si>
  <si>
    <t xml:space="preserve"> - Công nghiệp chế biến</t>
  </si>
  <si>
    <t xml:space="preserve"> - Cung cấp nước, xử lý rác thải</t>
  </si>
  <si>
    <t xml:space="preserve"> Sản lượng một số sản phẩm công nghiệp  chủ yếu:</t>
  </si>
  <si>
    <t xml:space="preserve"> - Điện sản xuất</t>
  </si>
  <si>
    <t xml:space="preserve"> Triệu kw/h</t>
  </si>
  <si>
    <t xml:space="preserve"> - Than sạch</t>
  </si>
  <si>
    <t>1000 tấn</t>
  </si>
  <si>
    <t xml:space="preserve"> - Đá xây dựng</t>
  </si>
  <si>
    <t xml:space="preserve"> - Gạch xây</t>
  </si>
  <si>
    <t>Tr.viên</t>
  </si>
  <si>
    <t xml:space="preserve"> - Gạch không nung</t>
  </si>
  <si>
    <t xml:space="preserve"> - Xi măng Điện Biên</t>
  </si>
  <si>
    <t xml:space="preserve"> - Chế biến thức ăn gia súc, gia cầm</t>
  </si>
  <si>
    <t xml:space="preserve"> Tấn</t>
  </si>
  <si>
    <t xml:space="preserve"> - Vôi </t>
  </si>
  <si>
    <t xml:space="preserve"> - Trang in offset</t>
  </si>
  <si>
    <t>Triệu trang</t>
  </si>
  <si>
    <t xml:space="preserve"> - Khai thác  sỏi</t>
  </si>
  <si>
    <t xml:space="preserve"> - Khai thác cát</t>
  </si>
  <si>
    <t xml:space="preserve"> - Chiết nạp Gas</t>
  </si>
  <si>
    <t xml:space="preserve"> - Thu gom rác thải</t>
  </si>
  <si>
    <t>Tr đồng</t>
  </si>
  <si>
    <t>D</t>
  </si>
  <si>
    <t xml:space="preserve"> THƯƠNG MẠI</t>
  </si>
  <si>
    <t>Tổng mức bán lẻ hàng hóa và dịch vụ (giá hiện hành)</t>
  </si>
  <si>
    <t>E</t>
  </si>
  <si>
    <t>TÀI CHÍNH</t>
  </si>
  <si>
    <t xml:space="preserve"> Tổng thu NS</t>
  </si>
  <si>
    <t>Thu ngân sách trên địa bàn</t>
  </si>
  <si>
    <t>Thu ngân sách địa phương được hưởng theo phân cấp</t>
  </si>
  <si>
    <t>Thu bổ sung từ ngân sách cấp trên</t>
  </si>
  <si>
    <t>Thu chuyển nguồn từ năm trước chuyển sang</t>
  </si>
  <si>
    <t>Các khoản ủng hộ, đóng góp</t>
  </si>
  <si>
    <t>Thu viện trợ</t>
  </si>
  <si>
    <t>Các khoản huy động đóng góp</t>
  </si>
  <si>
    <t>Thu ngân sách cấp dưới nộp lên</t>
  </si>
  <si>
    <t>Thu kết dư</t>
  </si>
  <si>
    <t xml:space="preserve"> Tổng chi NS</t>
  </si>
  <si>
    <t>Chi thường xuyên</t>
  </si>
  <si>
    <t xml:space="preserve">Chi đầu tư đầu tư phát triển </t>
  </si>
  <si>
    <t>Chi chương trình mục tiêu Quốc gia</t>
  </si>
  <si>
    <t>Chi thực hiện mục tiêu, nhiệm vụ khác</t>
  </si>
  <si>
    <t>Chi chuyển nguồn</t>
  </si>
  <si>
    <t>Chi nộp ngân sách cấp trên</t>
  </si>
  <si>
    <t>Dự phòng ngân sách</t>
  </si>
  <si>
    <t xml:space="preserve"> TT</t>
  </si>
  <si>
    <t xml:space="preserve"> Đơn vị tính</t>
  </si>
  <si>
    <t>Số học sinh có mặt đầu năm học</t>
  </si>
  <si>
    <t>H/Sinh</t>
  </si>
  <si>
    <t xml:space="preserve"> Giáo dục mầm non</t>
  </si>
  <si>
    <t>1.1</t>
  </si>
  <si>
    <t xml:space="preserve"> Tổng số trẻ mầm non</t>
  </si>
  <si>
    <t>- Số cháu vào nhà trẻ</t>
  </si>
  <si>
    <t>Cháu</t>
  </si>
  <si>
    <t xml:space="preserve">- Số học sinh mẫu giáo </t>
  </si>
  <si>
    <t>- Số trẻ 5 tuổi</t>
  </si>
  <si>
    <t>1.2</t>
  </si>
  <si>
    <t xml:space="preserve"> Tổng số lớp và nhóm trẻ</t>
  </si>
  <si>
    <t xml:space="preserve"> - Số nhóm trẻ</t>
  </si>
  <si>
    <t xml:space="preserve"> - Số lớp mẫu giáo</t>
  </si>
  <si>
    <t xml:space="preserve"> - Số lớp 5 tuổi</t>
  </si>
  <si>
    <t>1.3</t>
  </si>
  <si>
    <t xml:space="preserve"> Các tỷ lệ huy động</t>
  </si>
  <si>
    <t>- Tỷ lệ huy động trẻ ra lớp/dân số độ tuổi</t>
  </si>
  <si>
    <t>- Tỷ lệ trẻ mầm non là nữ</t>
  </si>
  <si>
    <t>- Tỷ lệ trẻ SDD thể nhẹ cân</t>
  </si>
  <si>
    <t>- Tỷ lệ trẻ SDD thể thấp còi</t>
  </si>
  <si>
    <t xml:space="preserve">- Tỷ lệ huy động trẻ:  </t>
  </si>
  <si>
    <t xml:space="preserve"> + Từ 0-2 tuổi</t>
  </si>
  <si>
    <t xml:space="preserve"> + Từ 3-5 tuổi ra lớp</t>
  </si>
  <si>
    <t xml:space="preserve"> +  5 tuổi ra lớp mẫu giáo</t>
  </si>
  <si>
    <t>- Tỷ lệ trẻ em dưới 5 tuổi đến trường được phát triển phù hợp về sức khỏe, học tập và tâm lý xã hội</t>
  </si>
  <si>
    <t xml:space="preserve"> Hệ phổ thông</t>
  </si>
  <si>
    <t xml:space="preserve"> - Tổng số học sinh</t>
  </si>
  <si>
    <t xml:space="preserve"> + Học sinh bán trú</t>
  </si>
  <si>
    <t>HS</t>
  </si>
  <si>
    <t xml:space="preserve"> - Tổng số lớp</t>
  </si>
  <si>
    <t xml:space="preserve"> Lớp</t>
  </si>
  <si>
    <t xml:space="preserve"> - Các tỷ lệ huy động</t>
  </si>
  <si>
    <t xml:space="preserve"> + Tỷ lệ học sinh nữ/tổng số h.sinh</t>
  </si>
  <si>
    <t xml:space="preserve"> + Tỷ lệ học sinh đúng độ tuổi</t>
  </si>
  <si>
    <t xml:space="preserve"> + Tỷ lệ học sinh bỏ học</t>
  </si>
  <si>
    <t xml:space="preserve"> + Tỷ lệ học sinh lưu ban </t>
  </si>
  <si>
    <t>2.1</t>
  </si>
  <si>
    <t>Tiểu học</t>
  </si>
  <si>
    <t xml:space="preserve"> - Học sinh bán trú</t>
  </si>
  <si>
    <t>- Tỷ lệ học sinh 6 tuổi học lớp 1</t>
  </si>
  <si>
    <t xml:space="preserve">- Tỷ lệ học sinh 6-10 tuổi học </t>
  </si>
  <si>
    <t xml:space="preserve"> - Tỷ lệ học sinh nữ/tổng số học sinh</t>
  </si>
  <si>
    <t xml:space="preserve"> - Tỷ lệ học sinh bỏ học</t>
  </si>
  <si>
    <t xml:space="preserve"> - Tỷ lệ học sinh lưu ban </t>
  </si>
  <si>
    <t>- Tỷ lệ học sinh được công nhận hoàn thành chương trình tiểu học</t>
  </si>
  <si>
    <t>-Tỷ lệ HS hoàn thành cấp tiểu học</t>
  </si>
  <si>
    <t>2.2</t>
  </si>
  <si>
    <t xml:space="preserve">Trung học cơ sở </t>
  </si>
  <si>
    <t>- Tỷ lệ chuyển cấp từ Tiểu học lên THCS</t>
  </si>
  <si>
    <t xml:space="preserve"> - Tỷ lệ học sinh 11 tuổi học lớp 6 </t>
  </si>
  <si>
    <t xml:space="preserve"> - Tỷ lệ học sinh 11-14 tuổi học THCS</t>
  </si>
  <si>
    <t>- Tỷ lệ trẻ em ngoài nhà trường ở độ tuổi đi học THCS</t>
  </si>
  <si>
    <t xml:space="preserve"> - Tỷ lệ HS tốt nghiệp THCS</t>
  </si>
  <si>
    <t xml:space="preserve"> - Tỷ lệ HS hoàn thành cấp THCS</t>
  </si>
  <si>
    <t>2.3</t>
  </si>
  <si>
    <t>Trung học phổ thông</t>
  </si>
  <si>
    <t xml:space="preserve"> - Học sinh trường DTNT</t>
  </si>
  <si>
    <t>- Học sinh bán trú</t>
  </si>
  <si>
    <t>- Tổng số lớp</t>
  </si>
  <si>
    <t xml:space="preserve">- Tỷ lệ học sinh 15 tuổi vào lớp 10 </t>
  </si>
  <si>
    <t xml:space="preserve"> %</t>
  </si>
  <si>
    <t>- Tỷ lệ học sinh 15-18 tuổi học THPT</t>
  </si>
  <si>
    <t>- Tỷ lệ học sinh nữ/tổng số học sinh</t>
  </si>
  <si>
    <t xml:space="preserve"> - Tỷ lệ HS dân tộc thiểu số cấp trung học được học tại các trường phổ thông DTNT</t>
  </si>
  <si>
    <t>- Tỷ lệ học sinh bỏ học</t>
  </si>
  <si>
    <t xml:space="preserve">- Tỷ lệ học sinh lưu ban </t>
  </si>
  <si>
    <t xml:space="preserve"> - Tỷ lệ tốt nghiệp THPT</t>
  </si>
  <si>
    <t>Hệ bổ túc văn hóa</t>
  </si>
  <si>
    <t>- Học sinh PCGDTH - XMC</t>
  </si>
  <si>
    <t>- Học sinh PCGD THCS</t>
  </si>
  <si>
    <t>- Học sinh bổ túc THPT</t>
  </si>
  <si>
    <t>Hướng nghiệp dạy nghề cho HS PT</t>
  </si>
  <si>
    <t>- Học sinh THCS</t>
  </si>
  <si>
    <t>- Học sinh THPT</t>
  </si>
  <si>
    <t>Trung tâm học tập cộng đồng</t>
  </si>
  <si>
    <t>Tỷ lệ HS tốt nghiệp</t>
  </si>
  <si>
    <t xml:space="preserve"> - Xét hoàn thành chương trình Tiểu học</t>
  </si>
  <si>
    <t xml:space="preserve"> - Xét tốt nghiệp cấp THCS</t>
  </si>
  <si>
    <t xml:space="preserve"> - Tỷ lệ HS tốt nghiệp THPT và bổ túc THPT</t>
  </si>
  <si>
    <t xml:space="preserve">Phổ cập giáo dục </t>
  </si>
  <si>
    <t>Tổng số xã toàn huyện</t>
  </si>
  <si>
    <t xml:space="preserve"> Xã</t>
  </si>
  <si>
    <t>Số xã được PC GDTH mức độ 1</t>
  </si>
  <si>
    <t>Số xã được PC GDTH mức độ 2</t>
  </si>
  <si>
    <t>Số xã được PC GDTH mức độ 3</t>
  </si>
  <si>
    <t>Số xã đạt chuẩn phổ cập GD THCS MĐ 1</t>
  </si>
  <si>
    <t>Số xã đạt chuẩn phổ cập GD THCS MĐ 2</t>
  </si>
  <si>
    <t>Số xã đạt chuẩn phổ cập GD THCS MĐ 3</t>
  </si>
  <si>
    <t>Số xã đạt chuẩn xóa mù chữ mức độ 1</t>
  </si>
  <si>
    <t>Số xã đạt chuẩn xóa mù chữ mức độ 2</t>
  </si>
  <si>
    <t>Số xã đạt chuẩn PCGD Mầm non cho trẻ 5 tuổi</t>
  </si>
  <si>
    <t>Tỷ lệ dân số từ 15 tuổi trở lên biết chữ</t>
  </si>
  <si>
    <t>IV</t>
  </si>
  <si>
    <t>Trường</t>
  </si>
  <si>
    <t>Trường Mầm non</t>
  </si>
  <si>
    <t xml:space="preserve"> - Trường đạt chuẩn QG </t>
  </si>
  <si>
    <t xml:space="preserve"> - Trường đạt chuẩn QG mức độ 1</t>
  </si>
  <si>
    <t xml:space="preserve"> - Trường đạt chuẩn QG mức độ 2</t>
  </si>
  <si>
    <t>Các trường phổ thông</t>
  </si>
  <si>
    <t xml:space="preserve"> - Trường PTDTNT huyện</t>
  </si>
  <si>
    <t xml:space="preserve"> - Tổng số trường đạt chuẩn Q.gia</t>
  </si>
  <si>
    <t xml:space="preserve"> - Trường đạt kiểm định chất lượng giáo dục</t>
  </si>
  <si>
    <t xml:space="preserve"> - Tổng số trường PTDTBT</t>
  </si>
  <si>
    <t>Trường Tiểu học</t>
  </si>
  <si>
    <t xml:space="preserve"> - Số trường PTDT bán trú</t>
  </si>
  <si>
    <t>Trường THCS</t>
  </si>
  <si>
    <t xml:space="preserve"> - Số trường PTDT Bán trú</t>
  </si>
  <si>
    <t xml:space="preserve"> - Số trường THCS tư thục</t>
  </si>
  <si>
    <t>Trường THPT</t>
  </si>
  <si>
    <t xml:space="preserve"> - Trường đạt chuẩn Quốc gia</t>
  </si>
  <si>
    <t xml:space="preserve"> - Trường phổ thông dân tộc nội trú</t>
  </si>
  <si>
    <t>Tr.tâm</t>
  </si>
  <si>
    <t>V</t>
  </si>
  <si>
    <t>Giáo dục khuyết tật</t>
  </si>
  <si>
    <t>Trường học có cơ sở hạ tầng và tài liệu phù hợp với trẻ em khuyết tật</t>
  </si>
  <si>
    <t xml:space="preserve"> - Tiểu học </t>
  </si>
  <si>
    <t xml:space="preserve"> - THPT</t>
  </si>
  <si>
    <t>VI</t>
  </si>
  <si>
    <t>Bổ sung một số chỉ số liên quan đến Phát triển trẻ thơ toàn diện</t>
  </si>
  <si>
    <t>Số cán bộ quản lý, giáo viên, nhân viên MN được tập huấn về tư vấn dinh dưỡng và tâm lý cho trẻ</t>
  </si>
  <si>
    <t>Người</t>
  </si>
  <si>
    <t>Số nhân viên nấu ăn có chứng chỉ nghề nấu ăn</t>
  </si>
  <si>
    <t>Số điểm trường mầm non có nhà vệ sinh hợp vệ sinh</t>
  </si>
  <si>
    <t>Điểm trường</t>
  </si>
  <si>
    <t>Số điểm trường mầm non có nguồn nước sử dụng hợp vệ sinh</t>
  </si>
  <si>
    <t>Số nhóm/lớp mầm non có đủ thiết bị, đồ dùng, đồ chơi tối thiểu theo quy định</t>
  </si>
  <si>
    <t>Số điểm trường mầm non có 05 loại đồ chơi ngoài trời trở lên trong danh mục quy định</t>
  </si>
  <si>
    <t>VII</t>
  </si>
  <si>
    <t>Các chỉ tiêu phát triển thiên niên kỷ đối với đồng bào dân tộc thiểu số</t>
  </si>
  <si>
    <t>Tỷ lệ trẻ em DTTS nhập học đúng độ tuổi bậc TH</t>
  </si>
  <si>
    <t>Tỷ lệ người DTTS hoàn thành chương trình TH</t>
  </si>
  <si>
    <t>Tỷ lệ người DTTS biết chữ  trong độ tuổi từ 15 tuổi đến 60 tuổi</t>
  </si>
  <si>
    <t>Tỷ lệ nữ người DTTS biết chữ trong độ tuổi từ 15 đến 60 tuổi</t>
  </si>
  <si>
    <t>Tỷ lệ học sinh nữ DTTS ở cấp tiểu học, trung học cơ sở, trung học phổ thông</t>
  </si>
  <si>
    <t>Biểu số: 03</t>
  </si>
  <si>
    <t>Biểu số 03</t>
  </si>
  <si>
    <t>Số đơn vị hành chính</t>
  </si>
  <si>
    <t>xã</t>
  </si>
  <si>
    <t>Xã Vùng ngoài</t>
  </si>
  <si>
    <t>Xã</t>
  </si>
  <si>
    <t>Xã Vùng lòng chảo</t>
  </si>
  <si>
    <t>Xã Vùng biên giới</t>
  </si>
  <si>
    <t>Dân số trung bình</t>
  </si>
  <si>
    <t xml:space="preserve"> Người</t>
  </si>
  <si>
    <t>Giới tính nam</t>
  </si>
  <si>
    <t>Khu vực nông thôn</t>
  </si>
  <si>
    <t xml:space="preserve"> Lao động việc làm</t>
  </si>
  <si>
    <t xml:space="preserve"> Tổng số người trong độ tuổi  LĐ</t>
  </si>
  <si>
    <t xml:space="preserve"> L.Động</t>
  </si>
  <si>
    <t xml:space="preserve">  - Tỷ lệ so với dân số</t>
  </si>
  <si>
    <t xml:space="preserve">  - Tr. đó: số người trong độ tuổi LĐ là nữ</t>
  </si>
  <si>
    <t xml:space="preserve"> Số lao động chia theo khu vực nông thôn</t>
  </si>
  <si>
    <t xml:space="preserve"> Số người trong độ tuổi có khả năng LĐ</t>
  </si>
  <si>
    <t xml:space="preserve">  - Tỷ lệ so với lao động trong độ tuổi</t>
  </si>
  <si>
    <t xml:space="preserve"> LĐ đang làm việc trong các ngành KTQD</t>
  </si>
  <si>
    <t xml:space="preserve">  - Tỷ lệ so với số người có khả năng LĐ</t>
  </si>
  <si>
    <t xml:space="preserve">  - Trong đó: Nữ </t>
  </si>
  <si>
    <t>Công nghiệp - Xây dựng</t>
  </si>
  <si>
    <t>Nông nghiệp - Lâm nghiệp - Thủy sản</t>
  </si>
  <si>
    <t>4.3</t>
  </si>
  <si>
    <t>Thương mại - Dịch vụ</t>
  </si>
  <si>
    <t>Tổng số Lao động qua đào tạo</t>
  </si>
  <si>
    <t>LĐ</t>
  </si>
  <si>
    <t xml:space="preserve"> - Tỷ lệ LĐ được đ/tạo so với tổng số LĐ đang làm việc TNKT</t>
  </si>
  <si>
    <t>Số LĐ được tạo việc làm mới trong năm</t>
  </si>
  <si>
    <t xml:space="preserve">- Số lao động Nữ </t>
  </si>
  <si>
    <t>- Số LĐ được tạo việc làm từ quỹ QG HTVL</t>
  </si>
  <si>
    <t>- Tạo việc làm từ xuất khẩu lao động</t>
  </si>
  <si>
    <t>Đào tạo nghề xã hội</t>
  </si>
  <si>
    <t>Đào tạo dạy nghề</t>
  </si>
  <si>
    <t xml:space="preserve"> H/ viên</t>
  </si>
  <si>
    <t>Cao đằng nghề (liên kết đào tạo)</t>
  </si>
  <si>
    <t>Trung cấp nghề</t>
  </si>
  <si>
    <t>Sơ cấp nghề và dạy nghề dưới 3 tháng</t>
  </si>
  <si>
    <t xml:space="preserve"> - Dạy nghề cho dân tộc thiểu số</t>
  </si>
  <si>
    <t xml:space="preserve"> - Cơ sở dạy nghề khác</t>
  </si>
  <si>
    <t>Tập huấn kỹ thuật dậy nghề</t>
  </si>
  <si>
    <t>Chăm sóc và bảo vệ trẻ em</t>
  </si>
  <si>
    <t xml:space="preserve">Tổng số trẻ em có hoàn cảnh ĐBKK </t>
  </si>
  <si>
    <t>Tổng số TE có HC ĐBKK đc hưởng TC tại cộng đồng</t>
  </si>
  <si>
    <t>Tỷ lệ/tổng số trẻ em</t>
  </si>
  <si>
    <t xml:space="preserve"> Số xã  đạt tiêu chuẩn phù hợp với trẻ em</t>
  </si>
  <si>
    <t xml:space="preserve"> - Tỷ lệ xã đạt tiêu chuẩn phù hợp với trẻ em</t>
  </si>
  <si>
    <t xml:space="preserve"> Số TE mồ côi được nuôi dưỡng tại TT BTXH tỉnh</t>
  </si>
  <si>
    <t>Trẻ em</t>
  </si>
  <si>
    <t xml:space="preserve"> Số TE mồ côi được nuôi dưỡng tại Làng TE SOS</t>
  </si>
  <si>
    <t>Số TE không nơi nương tựa được nhận nuôi dưỡng tại cộng đồng</t>
  </si>
  <si>
    <t xml:space="preserve"> Trẻ</t>
  </si>
  <si>
    <t>Số cán bộ làm công tác bảo vệ trẻ em/cán bộ công tác xã hội tham gia quản lý trường hợp</t>
  </si>
  <si>
    <t>21/21</t>
  </si>
  <si>
    <t xml:space="preserve"> Tổng số trẻ em dưới 6 tuổi</t>
  </si>
  <si>
    <t xml:space="preserve"> Tổng số trẻ em khuyết tật</t>
  </si>
  <si>
    <t xml:space="preserve"> Trẻ em trong hộ gia đình nghèo</t>
  </si>
  <si>
    <t xml:space="preserve"> Điểm vui chơi cho trẻ em (tại trường học)</t>
  </si>
  <si>
    <t>Điểm</t>
  </si>
  <si>
    <t>Số lượng TE dưới 6 tuổi có hoàn cảnh ĐBKK</t>
  </si>
  <si>
    <t>Tỷ lệ TE có hoàn cảnh KK so với tổng số trẻ em</t>
  </si>
  <si>
    <t>Số trẻ em có hoàn cảnh khó khăn nhận được sự hỗ trợ tiền mặt trực tiếp từ Chính phủ</t>
  </si>
  <si>
    <t xml:space="preserve"> Tỷ lệ trẻ em dưới 6 tuổi được khai sinh</t>
  </si>
  <si>
    <t xml:space="preserve"> Các vấn đề xã hội</t>
  </si>
  <si>
    <t xml:space="preserve"> Trật tự an toàn xã hội</t>
  </si>
  <si>
    <t>1.1.</t>
  </si>
  <si>
    <t xml:space="preserve"> Số người lạm dụng ma tuý (có hồ sơ quản lý)</t>
  </si>
  <si>
    <t xml:space="preserve">       Trong đó: Nữ </t>
  </si>
  <si>
    <t>1.2.</t>
  </si>
  <si>
    <t xml:space="preserve"> Số người được cai nghiện</t>
  </si>
  <si>
    <t xml:space="preserve"> - Trung tâm chữa bệnh - Giáo dục - LĐXH tỉnh</t>
  </si>
  <si>
    <t xml:space="preserve"> - Cai tại cộng đồng</t>
  </si>
  <si>
    <t xml:space="preserve"> - Số người được điều trị thay thế bằng Methandone, Burenorphin</t>
  </si>
  <si>
    <t xml:space="preserve"> Xoá đói giảm nghèo</t>
  </si>
  <si>
    <t xml:space="preserve"> - Tổng số hộ cuối năm</t>
  </si>
  <si>
    <t xml:space="preserve"> Hộ</t>
  </si>
  <si>
    <t xml:space="preserve"> - Số hộ đói nghèo đầu kỳ theo chuẩn QG </t>
  </si>
  <si>
    <t xml:space="preserve"> - Tỷ lệ hộ nghèo chuẩn mới</t>
  </si>
  <si>
    <t xml:space="preserve"> - Số hộ thoát nghèo </t>
  </si>
  <si>
    <t xml:space="preserve"> - Số hộ cận nghèo</t>
  </si>
  <si>
    <t>Hộ</t>
  </si>
  <si>
    <t xml:space="preserve"> - Số hộ tái nghèo, phát sinh</t>
  </si>
  <si>
    <t xml:space="preserve"> - Tỷ lệ hộ cận nghèo</t>
  </si>
  <si>
    <t xml:space="preserve"> - Tỷ lệ hộ nghèo dân tộc thiểu số </t>
  </si>
  <si>
    <t>Bảo hiểm xã hội</t>
  </si>
  <si>
    <t>ĐT thuộc diện tham gia BHXH bắt buộc</t>
  </si>
  <si>
    <t xml:space="preserve"> - Số người tham gia BHXH bắt buộc</t>
  </si>
  <si>
    <t xml:space="preserve"> - Tỷ lệ tham gia BHXH bắt buộc</t>
  </si>
  <si>
    <t xml:space="preserve"> - Số người tham gia BHXH thất nghiệp</t>
  </si>
  <si>
    <t xml:space="preserve"> - Tỷ lệ tham gia BHXH thất nghiệp</t>
  </si>
  <si>
    <t>Đối thượng tham gia BHXH tự nguyện</t>
  </si>
  <si>
    <t xml:space="preserve"> - Số người tham gia BHXH tự nguyện</t>
  </si>
  <si>
    <t xml:space="preserve"> - Tỷ lệ tham gia BHXH tự nguyện</t>
  </si>
  <si>
    <t>Biểu số 04</t>
  </si>
  <si>
    <t>Chỉ tiêu hoạt động:</t>
  </si>
  <si>
    <t>Tỷ lệ TE&lt;1 tuổi TCĐĐ các loại Vắc xin</t>
  </si>
  <si>
    <t>Tỷ lệ phụ nữ trong độ tuổi tiêm UV2+</t>
  </si>
  <si>
    <t>Tỷ lệ phụ nữ mang thai được tư vấn và kiểm tra HIV</t>
  </si>
  <si>
    <t xml:space="preserve"> Tỷ lệ PN mang thai nhiễm HIV được nhận thuốc kháng vi rút ARV/số PNMT HIV</t>
  </si>
  <si>
    <t>Tỷ suất tử vong TE dưới 1 tuổi</t>
  </si>
  <si>
    <t>‰</t>
  </si>
  <si>
    <t>Tỷ suất tử vong TE dưới 5 tuổi</t>
  </si>
  <si>
    <t>Tỷ lệ trẻ sơ sinh dưới 2500 gr</t>
  </si>
  <si>
    <t>Tỷ lệ trẻ được bú mẹ hoàn toàn trong 6 tháng đầu</t>
  </si>
  <si>
    <t>Tỷ lệ trẻ em dưới 5 tuổi SDD</t>
  </si>
  <si>
    <t xml:space="preserve"> - Theo thể cân nặng/tuổi</t>
  </si>
  <si>
    <t xml:space="preserve"> - Theo thể chiều cao/tuổi (thể thấp còi)</t>
  </si>
  <si>
    <t>Tỷ lệ dân số dùng muối Iốt</t>
  </si>
  <si>
    <t xml:space="preserve"> Tỷ lệ bướu cổ chung</t>
  </si>
  <si>
    <t xml:space="preserve"> Tỷ lệ bướu cổ trẻ em từ 8-10 tuổi</t>
  </si>
  <si>
    <t xml:space="preserve"> Tỷ lệ người dân thường xuyên rửa tay với xà phòng và nước sạch</t>
  </si>
  <si>
    <t xml:space="preserve"> Tỷ lệ hộ GĐ tiếp cận nhà tiêu hợp vệ sinh</t>
  </si>
  <si>
    <t>Tỷ lệ mắc một số bệnh xã hội/dân số</t>
  </si>
  <si>
    <t xml:space="preserve">  - Uốn ván</t>
  </si>
  <si>
    <t>1/100.000</t>
  </si>
  <si>
    <t xml:space="preserve"> -  Sốt rét</t>
  </si>
  <si>
    <t xml:space="preserve"> -  Lao ( mới )</t>
  </si>
  <si>
    <t xml:space="preserve"> -  HIV/AIDS còn sống/ Dân số</t>
  </si>
  <si>
    <t xml:space="preserve"> -  Phong ( BN phong mới phát hiện )</t>
  </si>
  <si>
    <t xml:space="preserve"> - Phong lưu hành</t>
  </si>
  <si>
    <t xml:space="preserve"> - Tâm thần</t>
  </si>
  <si>
    <t xml:space="preserve"> -  Ngộ độc</t>
  </si>
  <si>
    <t xml:space="preserve"> - Tai nạn, tự tử</t>
  </si>
  <si>
    <t>Cơ sở cung cấp dịch vụ Y tế</t>
  </si>
  <si>
    <t>Bệnh viện huyện</t>
  </si>
  <si>
    <t>BV</t>
  </si>
  <si>
    <t>Phòng khám đa khoa khu vực</t>
  </si>
  <si>
    <t>PK</t>
  </si>
  <si>
    <t>Khoa y tế dự phòng</t>
  </si>
  <si>
    <t>Khoa</t>
  </si>
  <si>
    <t>Khoa chăm sóc sức khỏe sinh sản - KHHGĐ</t>
  </si>
  <si>
    <t>TTYT  huyện</t>
  </si>
  <si>
    <t>TT</t>
  </si>
  <si>
    <t>Phòng Dân số - KHHGĐ  huyện</t>
  </si>
  <si>
    <t>Trạm y tế xã</t>
  </si>
  <si>
    <t>Trạm</t>
  </si>
  <si>
    <t>Tỷ lệ xã có trạm y tế (có tổ chức bộ máy trạm y tế)</t>
  </si>
  <si>
    <t>Giường bệnh:</t>
  </si>
  <si>
    <t>Giường</t>
  </si>
  <si>
    <t>Giường Quốc lập</t>
  </si>
  <si>
    <t xml:space="preserve"> - Tỷ lệ giường bệnh Quốc lập /vạn dân</t>
  </si>
  <si>
    <t>1/10.000</t>
  </si>
  <si>
    <t xml:space="preserve"> - Bệnh viện huyện</t>
  </si>
  <si>
    <t xml:space="preserve"> - Phòng khám đa khoa khu vực</t>
  </si>
  <si>
    <t>Giường bệnh trạm y tế xã (giường lưu)</t>
  </si>
  <si>
    <t>Nhân lực y tế:</t>
  </si>
  <si>
    <t>Số bác sỹ trên toàn huyện</t>
  </si>
  <si>
    <t>Bác sỹ</t>
  </si>
  <si>
    <t>Tỷ lệ Bác sỹ/vạn dân</t>
  </si>
  <si>
    <t>Tỷ lệ Dược sỹ đại học/vạn dân</t>
  </si>
  <si>
    <t>Tỷ lệ  trạm y tế xã có bác sỹ hoạt động</t>
  </si>
  <si>
    <t>Tỷ lệ xã có NHS hoặc YSSN</t>
  </si>
  <si>
    <t>Tỷ lệ bản có Nhân viên y tế thôn bản</t>
  </si>
  <si>
    <t>Bộ tiêu chí quốc gia y tế xã</t>
  </si>
  <si>
    <t>Dân số - Kế hoạch hóa gia đình</t>
  </si>
  <si>
    <t>Dân số</t>
  </si>
  <si>
    <t xml:space="preserve"> - Tỷ suất sinh</t>
  </si>
  <si>
    <t xml:space="preserve"> - Tỷ suất tăng tự nhiên</t>
  </si>
  <si>
    <t xml:space="preserve"> - Mức giảm tỷ suất sinh</t>
  </si>
  <si>
    <t xml:space="preserve"> - Tỷ lệ phát triển dân số</t>
  </si>
  <si>
    <t xml:space="preserve"> - Tỷ số giới tính khi sinh</t>
  </si>
  <si>
    <t>Số bé trai/
100 bé gái</t>
  </si>
  <si>
    <t xml:space="preserve"> - Tốc độ tăng tỷ số giới tính khi sinh</t>
  </si>
  <si>
    <t>(Điểm %)</t>
  </si>
  <si>
    <t>Dân số phân theo giới tính</t>
  </si>
  <si>
    <t xml:space="preserve"> - Dân số nam</t>
  </si>
  <si>
    <t xml:space="preserve"> - Tỷ lệ so với tổng dân số</t>
  </si>
  <si>
    <t xml:space="preserve"> - Dân số nữ</t>
  </si>
  <si>
    <t xml:space="preserve">  - Tỷ lệ so với tổng dân số</t>
  </si>
  <si>
    <t>1.3.</t>
  </si>
  <si>
    <t>Dân số phân theo thành thị, nông thôn</t>
  </si>
  <si>
    <t xml:space="preserve"> - Dân số nông thôn</t>
  </si>
  <si>
    <t>Kế hoạch hóa gia đình:</t>
  </si>
  <si>
    <t xml:space="preserve"> - Tỷ lệ nữ từ 15 - 49 tuổi so với dân số</t>
  </si>
  <si>
    <t xml:space="preserve"> - Tỷ lệ PN 15 - 49 tuổi có chồng</t>
  </si>
  <si>
    <t xml:space="preserve"> - Tỷ lệ các cặp vợ chồng thực hiện các biện pháp tránh thai</t>
  </si>
  <si>
    <t xml:space="preserve"> - Tỷ lệ các bà mẹ sinh con thứ 3 trở lên so với tổng số bà mẹ sinh con trong năm</t>
  </si>
  <si>
    <t>Cơ sở thực hiện dịch vụ KHHGĐ</t>
  </si>
  <si>
    <t>Cơ sở</t>
  </si>
  <si>
    <t xml:space="preserve"> - Số CB làm công tác DS-KHHGĐ:</t>
  </si>
  <si>
    <t xml:space="preserve"> - Cán bộ chuyên trách cấp huyện </t>
  </si>
  <si>
    <t xml:space="preserve"> - Cán bộ chuyên trách cấp xã</t>
  </si>
  <si>
    <t>Số người tham gia BH y tế</t>
  </si>
  <si>
    <t>Biểu số 05</t>
  </si>
  <si>
    <t xml:space="preserve"> Lĩnh vực văn hóa, gia đình</t>
  </si>
  <si>
    <t>Phát hành phim và chiếu bóng</t>
  </si>
  <si>
    <t xml:space="preserve">  - Số buổi chiếu bóng nhà nước tài trợ</t>
  </si>
  <si>
    <t>Buổi</t>
  </si>
  <si>
    <t xml:space="preserve">  - Số lượt người xem chiếu bóng trong năm</t>
  </si>
  <si>
    <t xml:space="preserve"> 1000 lượt</t>
  </si>
  <si>
    <t xml:space="preserve"> - Số lượt người xem CB vùng cao</t>
  </si>
  <si>
    <t>Văn hóa cơ sở</t>
  </si>
  <si>
    <t xml:space="preserve"> - Đội thông tin lưu động cấp huyện</t>
  </si>
  <si>
    <t>Đội</t>
  </si>
  <si>
    <t xml:space="preserve"> - Số buổi hoạt động </t>
  </si>
  <si>
    <t xml:space="preserve"> Buổi</t>
  </si>
  <si>
    <t>Thư viện</t>
  </si>
  <si>
    <t xml:space="preserve"> - Số Nhà thư viện trên địa bàn huyện</t>
  </si>
  <si>
    <t>Nhà</t>
  </si>
  <si>
    <t xml:space="preserve"> - Số sách mới bổ sung trong năm</t>
  </si>
  <si>
    <t xml:space="preserve">1000 bản </t>
  </si>
  <si>
    <t xml:space="preserve"> - Tổng số sách có trong thư viện đến kỳ báo cáo</t>
  </si>
  <si>
    <t xml:space="preserve"> - Tổng số lượt người đọc trong năm</t>
  </si>
  <si>
    <t>1000 lượt</t>
  </si>
  <si>
    <t xml:space="preserve"> - Tổng số thẻ đã cấp cho độc giả</t>
  </si>
  <si>
    <t>Thẻ</t>
  </si>
  <si>
    <t xml:space="preserve"> + Thư viện huyện</t>
  </si>
  <si>
    <t xml:space="preserve"> + Cấp cho thiếu nhi</t>
  </si>
  <si>
    <t>Lĩnh vực Văn hóa gia đình</t>
  </si>
  <si>
    <t>Phong trào toàn dân đoàn kết XD ĐSVH</t>
  </si>
  <si>
    <t>a)</t>
  </si>
  <si>
    <t>Tỷ lệ GĐ đạt VH/toàn huyện</t>
  </si>
  <si>
    <t xml:space="preserve"> - Số GĐ đăng ký đạt  GĐ VH </t>
  </si>
  <si>
    <t xml:space="preserve"> Gia đình</t>
  </si>
  <si>
    <t xml:space="preserve"> - Số GĐ được công nhận GĐ VH</t>
  </si>
  <si>
    <t>b)</t>
  </si>
  <si>
    <t xml:space="preserve"> Tỷ lệ  thôn, bản đạt VH/ toàn huyện</t>
  </si>
  <si>
    <t xml:space="preserve"> - Tổng số thôn, bản toàn huyện</t>
  </si>
  <si>
    <t>Thôn, bản</t>
  </si>
  <si>
    <t xml:space="preserve"> - Số thôn, bản đăng ký đạt chuẩn VH</t>
  </si>
  <si>
    <t>Bản</t>
  </si>
  <si>
    <t xml:space="preserve"> - Số thôn, bản được công nhận VH cấp huyện</t>
  </si>
  <si>
    <t>c)</t>
  </si>
  <si>
    <t>Tỷ lệ cơ quan, đơn vị, trường học đạt VH</t>
  </si>
  <si>
    <t xml:space="preserve"> - Số CQ, đơn vị, trường học đăng ký đạt chuẩn VH</t>
  </si>
  <si>
    <t>CQ</t>
  </si>
  <si>
    <t xml:space="preserve"> - Số cơ quan, đơn vị, trường học đạt chuẩn VH</t>
  </si>
  <si>
    <t xml:space="preserve"> Sự nghiệp gia đình</t>
  </si>
  <si>
    <t xml:space="preserve"> - Tỷ lệ xã có ban chỉ đạo mô hình phòng chống bạo lực gia đình</t>
  </si>
  <si>
    <t xml:space="preserve"> - Số BCĐ mô hình PCBLGĐ được thành lập tại xã</t>
  </si>
  <si>
    <t>BCĐ</t>
  </si>
  <si>
    <t xml:space="preserve"> - Tỷ lệ thôn, bản, tổ dân phố có CLB gia đình phát triển bền vững</t>
  </si>
  <si>
    <t xml:space="preserve"> - Số thôn, bản, tổ dân phố có CLB gia đình phát triển bền vững tại thôn, bản, tổ dân phố</t>
  </si>
  <si>
    <t>CLB</t>
  </si>
  <si>
    <t xml:space="preserve"> - Tỷ lệ gia đình được tuyên truyền phổ biến các luật có liên quan đến lĩnh vực gia đình</t>
  </si>
  <si>
    <t xml:space="preserve">  - Số xã,  tổ chức các hoạt động tuyên truyền, giáo dục đời sống gia đình</t>
  </si>
  <si>
    <t xml:space="preserve"> - Tỷ lệ  xã,xây dựng kế hoạch công tác gia đình và phòng chống bạo lực gia đình;</t>
  </si>
  <si>
    <t xml:space="preserve"> Phát triển thiết chế Văn hóa, thể thao cơ sở, TT - TH</t>
  </si>
  <si>
    <t>5.1</t>
  </si>
  <si>
    <t xml:space="preserve"> Số đội chiếu bóng vùng cao</t>
  </si>
  <si>
    <t>5.2</t>
  </si>
  <si>
    <t>Số Nhà văn hóa trên địa bàn</t>
  </si>
  <si>
    <t xml:space="preserve"> Nhà</t>
  </si>
  <si>
    <t xml:space="preserve"> - Số Nhà văn hóa, thể thao cấp huyện</t>
  </si>
  <si>
    <t xml:space="preserve"> - Số xã có nhà Văn hóa</t>
  </si>
  <si>
    <t xml:space="preserve"> + Tỷ lệ xã có nhà Văn hóa</t>
  </si>
  <si>
    <t xml:space="preserve"> - Số nhà VH thôn, bản có trên địa bàn</t>
  </si>
  <si>
    <t xml:space="preserve"> + Tỷ lệ thôn, bản có  nhà VH-TT </t>
  </si>
  <si>
    <t>5.3</t>
  </si>
  <si>
    <t>Sân thể thao</t>
  </si>
  <si>
    <t xml:space="preserve"> - Số sân thể thao phổ thông cấp xã</t>
  </si>
  <si>
    <t>Sân</t>
  </si>
  <si>
    <t xml:space="preserve">  +  Tỷ lệ xã có sân thể thao phổ thông</t>
  </si>
  <si>
    <t xml:space="preserve"> - Số phòng tập phổ thông cấp xã</t>
  </si>
  <si>
    <t>Phòng tập</t>
  </si>
  <si>
    <t xml:space="preserve">  + Tỷ lệ xã có phòng tập phổ thông</t>
  </si>
  <si>
    <t xml:space="preserve"> - Số sân bóng đá mini tại thôn, bản </t>
  </si>
  <si>
    <t xml:space="preserve">  + Tỷ lệ thôn, bản có sân bóng đá mini</t>
  </si>
  <si>
    <t xml:space="preserve"> Bảo tồn di sản văn hóa</t>
  </si>
  <si>
    <t xml:space="preserve"> Số di tích lịch sử được đầu tư tôn tạo đã hoàn thành trong kỳ</t>
  </si>
  <si>
    <t xml:space="preserve"> Lĩnh vực thể thao</t>
  </si>
  <si>
    <t>Số người tham gia luyện tập thường xuyên ít nhất 01 môn thể thao</t>
  </si>
  <si>
    <t>Tỷ lệ người tham gia luyện tập thường xuyên ít nhất 01 môn thể thao trong tổng dân số toàn tỉnh</t>
  </si>
  <si>
    <t>Số gia đình  được công nhận danh hiệu gia đình thể thao</t>
  </si>
  <si>
    <t>Gia đình</t>
  </si>
  <si>
    <t>Tỷ lệ gia đình  được công nhận danh hiệu gia đình thể thao trong tổng số hộ gia đình trong toàn tỉnh</t>
  </si>
  <si>
    <t xml:space="preserve"> Số câu lạc bộ thể thao cơ sở</t>
  </si>
  <si>
    <t xml:space="preserve"> Số trường phổ thông thực hiện đầy đủ chương trình giáo dục thể chất nội khóa</t>
  </si>
  <si>
    <t xml:space="preserve"> Lĩnh vực du lịch</t>
  </si>
  <si>
    <t xml:space="preserve"> Số bản đủ tiêu chuẩn đón khách du lịch với sự đa dạng của các dân tộc</t>
  </si>
  <si>
    <t>Số bản đủ tiêu chuẩn đón khách du lịch quốc tế</t>
  </si>
  <si>
    <t xml:space="preserve"> Thông tin và truyền thông</t>
  </si>
  <si>
    <t xml:space="preserve"> Phát thanh</t>
  </si>
  <si>
    <t xml:space="preserve"> - Tỷ lệ số hộ được phủ sóng PTTW</t>
  </si>
  <si>
    <t xml:space="preserve"> - Tỷ lệ số hộ được phủ sóng PT tỉnh</t>
  </si>
  <si>
    <t>Truyền hình</t>
  </si>
  <si>
    <t xml:space="preserve"> - Tỷ lệ số hộ được phủ sóng THVN</t>
  </si>
  <si>
    <t xml:space="preserve"> - Tỷ lệ số hộ được phủ sóng  TH tỉnh</t>
  </si>
  <si>
    <t xml:space="preserve"> Bưu chính</t>
  </si>
  <si>
    <t xml:space="preserve"> - Số xã có điểm bưu điện văn hóa xã</t>
  </si>
  <si>
    <t xml:space="preserve"> - Tỷ lệ xã có điểm bưu điện văn hóa xã</t>
  </si>
  <si>
    <t xml:space="preserve"> - Số dân phục vụ bình quân</t>
  </si>
  <si>
    <t>Người/
điểm</t>
  </si>
  <si>
    <t xml:space="preserve"> - Bán kính phục vụ bình quân</t>
  </si>
  <si>
    <t>Km/điểm</t>
  </si>
  <si>
    <t xml:space="preserve"> - Tổng doanh thu dịch vụ bưu chính</t>
  </si>
  <si>
    <t xml:space="preserve"> Triệu đồng</t>
  </si>
  <si>
    <t xml:space="preserve"> Viễn thông</t>
  </si>
  <si>
    <t xml:space="preserve"> - Tổng số thuê bao điện thoại</t>
  </si>
  <si>
    <t>Thuê bao</t>
  </si>
  <si>
    <t xml:space="preserve"> - Số thuê bao điện thoại trung bình 100 dân</t>
  </si>
  <si>
    <t>Thuê bao/
100 dân</t>
  </si>
  <si>
    <t xml:space="preserve"> - Số trạm thu phát sóng thông tin di động (BTS)</t>
  </si>
  <si>
    <t xml:space="preserve"> - Số xã có trạm thông tin di động 3G</t>
  </si>
  <si>
    <t xml:space="preserve"> Internet</t>
  </si>
  <si>
    <t xml:space="preserve"> - Số thuê bao Internet</t>
  </si>
  <si>
    <t xml:space="preserve"> Thuê bao</t>
  </si>
  <si>
    <t xml:space="preserve"> - Số thuê bao Internet trung bình 100 dân</t>
  </si>
  <si>
    <t xml:space="preserve"> Thuê bao/
100 dân</t>
  </si>
  <si>
    <t xml:space="preserve"> - Số xã được kết nối Internet băng thông rộng</t>
  </si>
  <si>
    <t xml:space="preserve"> - Tổng doanh thu dịch vụ Internet </t>
  </si>
  <si>
    <t>+</t>
  </si>
  <si>
    <t>Trồng mới cây mắc ca (trên đất rừng PH, SX)</t>
  </si>
  <si>
    <t>Chăm sóc rừng trồng</t>
  </si>
  <si>
    <t>Trồng cây phân tán</t>
  </si>
  <si>
    <t>Cây</t>
  </si>
  <si>
    <t xml:space="preserve">Cung cấp các dịch vụ CSHT thiết yếu </t>
  </si>
  <si>
    <t>Tổng số xã của toàn huyện</t>
  </si>
  <si>
    <t>- Tỷ lệ % số xã có đường ô tô đến trung tâm</t>
  </si>
  <si>
    <t xml:space="preserve"> - Tỷ lệ % Số xã có trạm y tế</t>
  </si>
  <si>
    <t xml:space="preserve"> - Tỷ lệ % số xã có bưu điện văn hoá xã</t>
  </si>
  <si>
    <t>- Tỷ lệ số hộ được sử dụng điện</t>
  </si>
  <si>
    <t>Vị trí trạm</t>
  </si>
  <si>
    <t>Tỉnh giao</t>
  </si>
  <si>
    <t>b</t>
  </si>
  <si>
    <t>c</t>
  </si>
  <si>
    <t>a</t>
  </si>
  <si>
    <t>- Tỷ lệ học sinh đi học chung cấp tiểu học</t>
  </si>
  <si>
    <t>- Tỷ lệ trẻ em ngoài nhà trưởng ở độ tuổi đi học tiểu học</t>
  </si>
  <si>
    <t>- Tỷ lệ học sinh đi học chung cấp THCS</t>
  </si>
  <si>
    <t>- Tỷ suất tử vong trẻ em DTTS dưới 5 tuổi trên 1000 trẻ DTTS đẻ sống</t>
  </si>
  <si>
    <t>Bổ sung thêm số liệu</t>
  </si>
  <si>
    <t>- Tỷ suất tử vong trẻ em DTTS dưới 1 tuổi trên 1000 trẻ DTTS đẻ sống</t>
  </si>
  <si>
    <t>+ Tỷ lệ suy dinh dưỡng cân nặng/tuổi ở trẻ em DTTS dưới 5 tuổi</t>
  </si>
  <si>
    <t>Tỉnh giao (chỉ nhập số thay đổi, các chỉ số không thay đổi thì không nhập)</t>
  </si>
  <si>
    <t>- Tỷ lệ lực lượng lao động trong độ tuổi lao động tham gia BHXH bắt buộc</t>
  </si>
  <si>
    <t>- Tỷ lệ lực lượng lao động trong độ tuổi lao động tham gia BH thất nghiệp</t>
  </si>
  <si>
    <t>+ Tỷ lệ lực lượng lao động trong độ tuổi lao động tham gia BHXH tự nguyện</t>
  </si>
  <si>
    <t>- Số lớp bổ túc THCS</t>
  </si>
  <si>
    <t>Lớp</t>
  </si>
  <si>
    <t>- Số lớp bổ túc THPT</t>
  </si>
  <si>
    <t>T. Tâm</t>
  </si>
  <si>
    <t>Cơ sở vật chất trường học</t>
  </si>
  <si>
    <t>Trường Mầm non và phổ thông</t>
  </si>
  <si>
    <t>Tr. đó: - Trường đạt chuẩn Quốc gia</t>
  </si>
  <si>
    <t>"</t>
  </si>
  <si>
    <t xml:space="preserve">             '- Trường đạt kiểm định chất lượng giáo dục</t>
  </si>
  <si>
    <t xml:space="preserve"> '- Trường đạt kiểm định chất lượng giáo dục</t>
  </si>
  <si>
    <t>- Trường MN ngoài công lập</t>
  </si>
  <si>
    <t>Trung tâm GDNN-GDTX</t>
  </si>
  <si>
    <t xml:space="preserve">Bảo vệ rừng </t>
  </si>
  <si>
    <t>Khoán bảo vệ rừng (Nguồn CTMTPTLNBV)</t>
  </si>
  <si>
    <r>
      <t>1000 m</t>
    </r>
    <r>
      <rPr>
        <vertAlign val="superscript"/>
        <sz val="11"/>
        <rFont val="Times New Roman"/>
        <family val="1"/>
      </rPr>
      <t>3</t>
    </r>
  </si>
  <si>
    <r>
      <t>m</t>
    </r>
    <r>
      <rPr>
        <vertAlign val="superscript"/>
        <sz val="11"/>
        <rFont val="Times New Roman"/>
        <family val="1"/>
      </rPr>
      <t>3</t>
    </r>
  </si>
  <si>
    <t>Biểu số: 02</t>
  </si>
  <si>
    <t>Kế hoạch năm 2023</t>
  </si>
  <si>
    <t>Đối tượng thuộc diện tham gia BHXH thất nghiệp</t>
  </si>
  <si>
    <t>Tỷ lệ phụ nữ DTTS được khám thai ít nhất 4 lần trong 3 kỳ thai nghén</t>
  </si>
  <si>
    <t>Tỷ lệ các ca sinh của phụ nữ DTTS được cán bộ y tế đã qua đào tạo đỡ</t>
  </si>
  <si>
    <t>Tỷ lệ người dân tham gia bảo hiểm y tế</t>
  </si>
  <si>
    <t xml:space="preserve"> - Áp dụng cấy lúa, liên kết sản xuất </t>
  </si>
  <si>
    <t>Đàn Dê</t>
  </si>
  <si>
    <t>Tỷ lệ PN đẻ được khám thai  ít nhất 4 lần trong 3 kỳ thai nghén</t>
  </si>
  <si>
    <t>Chi tạo nguồn làm lương</t>
  </si>
  <si>
    <t>0,03</t>
  </si>
  <si>
    <t>Hợp tác xã</t>
  </si>
  <si>
    <t>Số hợp tác xã đang hoạt động có kết quả sản xuất kinh doanh tại thời điểm 31/12 hằng năm</t>
  </si>
  <si>
    <t>Số lao động trong hợp tác xã đang hoạt động sản xuất kinh doanh tại thời điểm 31/12 hằng năm</t>
  </si>
  <si>
    <t>Số hợp tác xã thành lập mới</t>
  </si>
  <si>
    <t>Số hợp tác xã hoàn tất thủ tục giải thể</t>
  </si>
  <si>
    <t>Tổng số tổ hợp tác</t>
  </si>
  <si>
    <t>Hộ kinh doanh</t>
  </si>
  <si>
    <t>3.1</t>
  </si>
  <si>
    <t>Tổng số hộ kinh doanh đang hoạt động tại thời điểm 31/12 hằng năm</t>
  </si>
  <si>
    <t>3.2</t>
  </si>
  <si>
    <t>3.3</t>
  </si>
  <si>
    <t>Tổng số hộ kinh doanh thành lập mới</t>
  </si>
  <si>
    <t>Triệu đồng</t>
  </si>
  <si>
    <t>Liên hiệp</t>
  </si>
  <si>
    <t>Tổ</t>
  </si>
  <si>
    <t>F</t>
  </si>
  <si>
    <t>* Sản lượng một số sản phấm chăn nuôi chủ yếu</t>
  </si>
  <si>
    <t>Thịt trâu hơi</t>
  </si>
  <si>
    <t>Thịt bò hơi</t>
  </si>
  <si>
    <t>Thịt lợn hơi</t>
  </si>
  <si>
    <t>Thịt gia cầm hơi</t>
  </si>
  <si>
    <t>Tốc độ tăng</t>
  </si>
  <si>
    <t>Tỷ lệ phòng học kiên cố</t>
  </si>
  <si>
    <t>Mầm non</t>
  </si>
  <si>
    <t>Trung học cơ sở</t>
  </si>
  <si>
    <t>3.4</t>
  </si>
  <si>
    <t>Số điều dưỡng viên/vạn dân</t>
  </si>
  <si>
    <t>Mức sống dân cư</t>
  </si>
  <si>
    <t>Nghìn đồng</t>
  </si>
  <si>
    <t>Tỷ lệ xã được công nhận đạt chuấn/hoàn thành nhiệm vụ xây dựng nông thôn mới</t>
  </si>
  <si>
    <t>Tỷ lệ xã được công nhận đạt chuấn/hoàn thành nhiệm vụ xây dựng nông thôn mới nâng cao</t>
  </si>
  <si>
    <t xml:space="preserve"> - Tỷ lệ nghèo đa chiều</t>
  </si>
  <si>
    <t xml:space="preserve"> Mức giảm tỷ lệ nghèo đa chiều</t>
  </si>
  <si>
    <t xml:space="preserve"> - Thu nhập bình quân đầu người 1 tháng</t>
  </si>
  <si>
    <t xml:space="preserve"> - Tỷ lệ xã được công nhận đạt chuẩn nông thôn mới</t>
  </si>
  <si>
    <t xml:space="preserve"> - Tỷ lệ xã đạt chuẩn nông thôn mới nâng cao</t>
  </si>
  <si>
    <t xml:space="preserve"> - Tỷ lệ xã đạt chuẩn nông thôn mới kiểu mẫu</t>
  </si>
  <si>
    <t xml:space="preserve"> - Số xã được công nhận đạt chuẩn/hoàn thành nhiệm vụ xây dựng nông thôn mới</t>
  </si>
  <si>
    <t xml:space="preserve"> - Số xã được công nhận đạt chuẩn/hoàn thành nhiệm vụ xây dựng nông thôn mới nâng cao</t>
  </si>
  <si>
    <t>Tổng số vốn đăng ký</t>
  </si>
  <si>
    <t>Tổng số liên hiệp hợp tác xã</t>
  </si>
  <si>
    <t>Xem tiêu đề để năm 2021 còn phù hợp không</t>
  </si>
  <si>
    <t>TỈNH GIAO</t>
  </si>
  <si>
    <t>+ Tỷ lệ suy dinh dưỡng thể thấp còi/tuổi ở trẻ em DTTS dưới 5 tuổi</t>
  </si>
  <si>
    <t>Bổ sung nội dung này</t>
  </si>
  <si>
    <t>Số bản có Nhân viên y tế thôn bản</t>
  </si>
  <si>
    <t>Theo QĐ số 17/2020/QĐ-UBND</t>
  </si>
  <si>
    <t>Đề nghị bên Bảo hiểm kiểm tra lại số liệu biểu 02, 03</t>
  </si>
  <si>
    <t>VIII</t>
  </si>
  <si>
    <t>Dân số được quản lý bằng hồ sơ sức khoẻ</t>
  </si>
  <si>
    <t>Tỷ lệ dân số được quản lý bằng hồ sơ sức khoẻ</t>
  </si>
  <si>
    <t>Ban Quản lý rừng phòng hộ huyện Điện Biên</t>
  </si>
  <si>
    <t>1.4</t>
  </si>
  <si>
    <t>1.5</t>
  </si>
  <si>
    <t>1.6</t>
  </si>
  <si>
    <t>HTX, HỘ KINH DOANH</t>
  </si>
  <si>
    <t xml:space="preserve">Số hộ nghèo cuối kỳ theo chuẩn Quốc gia </t>
  </si>
  <si>
    <t>Thực hiện năm 2022</t>
  </si>
  <si>
    <t xml:space="preserve"> - Sản xuất phân phối điện, khí đốt</t>
  </si>
  <si>
    <t>Kế hoạch năm 2024</t>
  </si>
  <si>
    <t>0,90</t>
  </si>
  <si>
    <t>96,5</t>
  </si>
  <si>
    <t>29,2</t>
  </si>
  <si>
    <t>- Tỷ lệ hộ được sử dụng nước hợp vệ sinh</t>
  </si>
  <si>
    <t>Tại sao số HTX giảm mà số lao động tăng, kiểm tra xem có phù hợp không</t>
  </si>
  <si>
    <t>Không khớp với phần lời</t>
  </si>
  <si>
    <t>DT Rau màu các loại và cây trồng khác, (lạc, đậu, đỗ ...)</t>
  </si>
  <si>
    <t xml:space="preserve"> - Huyện Điện Biên</t>
  </si>
  <si>
    <t xml:space="preserve"> - Ban Quản lý rừng phòng hộ huyện ĐB</t>
  </si>
  <si>
    <t>Xã duy trì đạt Bộ tiêu chí QG về y tế xã 2021 -2030</t>
  </si>
  <si>
    <t>Tỷ lệ xã duy trì đạt Bộ tiêu chí QG về  Y tế xã 2021-2030</t>
  </si>
  <si>
    <t>Xã củng cố hoàn thiện thêm xã đạt bộ tiêu chí quốc gia về y tế giai đoạn 2021-2030 theo Quyết định số 1300/QĐ-BYT</t>
  </si>
  <si>
    <t>Giá trị sản xuất công nghiệp</t>
  </si>
  <si>
    <t>Dịch vụ Viễn thông, Internet</t>
  </si>
  <si>
    <t>Thực hiện năm 2023</t>
  </si>
  <si>
    <t xml:space="preserve">Tổng doanh thu dịch vụ Viễn thông, Internet </t>
  </si>
  <si>
    <t>Ước thực hiện 6 tháng đầu năm 2024</t>
  </si>
  <si>
    <t>Thực hiện 6 tháng đầu năm 2023</t>
  </si>
  <si>
    <t>Kế hoạch 6 tháng cuối năm 2024</t>
  </si>
  <si>
    <t>So với 6 tháng đầu năm 2023</t>
  </si>
  <si>
    <t>CHỈ TIÊU VỀ NÔNG - LÂM NGHIỆP - THỦY SẢN - CÔNG NGHIỆP - TÀI CHÍNH - THƯƠNG MẠI 6 THÁNG ĐẦU NĂM 2024</t>
  </si>
  <si>
    <t xml:space="preserve"> CHỈ TIÊU VỀ GIÁO DỤC - ĐÀO TẠO 6 THÁNG ĐẦU NĂM 2024 </t>
  </si>
  <si>
    <t>6=2/3</t>
  </si>
  <si>
    <t>CHỈ TIÊU VỀ LAO ĐỘNG VÀ VIỆC LÀM, BẢO VỆ TRẺ EM, XÃ HỘI VÀ ĐÀO TẠO NGHỀ 6 THÁNG ĐẦU NĂM 2024</t>
  </si>
  <si>
    <t xml:space="preserve">CÁC CHỈ TIÊU VỀ Y TẾ - DÂN SỐ - KẾ HOẠCH HÓA GIA ĐÌNH 6 THÁNG ĐẦU NĂM 2024 </t>
  </si>
  <si>
    <t>CÁC CHỈ TIÊU VỀ VĂN HÓA, THỂ THAO, THÔNG TIN VÀ TRUYỀN THÔNG 6 THÁNG ĐẦU NĂM 2024</t>
  </si>
  <si>
    <t>7=2/4</t>
  </si>
  <si>
    <t>8=2/5</t>
  </si>
  <si>
    <t>53,0</t>
  </si>
  <si>
    <t>52,4</t>
  </si>
  <si>
    <t>16,2</t>
  </si>
  <si>
    <t xml:space="preserve"> TH 6 tháng đầu năm 2024/Kế hoạch tỉnh giao năm 2024</t>
  </si>
  <si>
    <t xml:space="preserve"> TH 6 tháng đầu năm 2024/Kế hoạch huyện năm 2024</t>
  </si>
  <si>
    <t>(Kèm theo Báo cáo            /BC-UBND, ngày      /6/2024 của UBND huyện Điện Biên)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</si>
</sst>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&quot;?&quot;&quot;?&quot;_);_(@_)"/>
    <numFmt numFmtId="173" formatCode="_(* #,##0.00_);_(* \(#,##0.00\);_(* &quot;-&quot;&quot;?&quot;&quot;?&quot;_);_(@_)"/>
    <numFmt numFmtId="174" formatCode="_(* #,##0.0_);_(* \(#,##0.0\);_(* &quot;-&quot;&quot;?&quot;&quot;?&quot;_);_(@_)"/>
    <numFmt numFmtId="175" formatCode="_(* #,##0.000_);_(* \(#,##0.000\);_(* &quot;-&quot;&quot;?&quot;&quot;?&quot;_);_(@_)"/>
    <numFmt numFmtId="176" formatCode="_(* #,##0_);_(* \(#,##0\);_(* &quot;-&quot;??_);_(@_)"/>
    <numFmt numFmtId="177" formatCode="_(* #,##0.0_);_(* \(#,##0.0\);_(* &quot;-&quot;??_);_(@_)"/>
    <numFmt numFmtId="178" formatCode="#,##0.0"/>
    <numFmt numFmtId="179" formatCode="_(* #,##0.00_);_(* \(#,##0.00\);_(* &quot;-&quot;_);_(@_)"/>
    <numFmt numFmtId="180" formatCode="_(* #,##0.0_);_(* \(#,##0.0\);_(* &quot;-&quot;_);_(@_)"/>
    <numFmt numFmtId="181" formatCode="0.0"/>
    <numFmt numFmtId="182" formatCode="_(* #,##0.000_);_(* \(#,##0.000\);_(* &quot;-&quot;_);_(@_)"/>
    <numFmt numFmtId="183" formatCode="_(* #,##0.0_);_(* \(#,##0.0\);_(* &quot;-&quot;?_);_(@_)"/>
    <numFmt numFmtId="184" formatCode="_(* #,##0_);_(* \(#,##0\);_(* &quot;-&quot;?_);_(@_)"/>
    <numFmt numFmtId="185" formatCode="0.000"/>
    <numFmt numFmtId="186" formatCode="_(* #,##0.000_);_(* \(#,##0.000\);_(* &quot;-&quot;??_);_(@_)"/>
    <numFmt numFmtId="187" formatCode="_(* #,##0.000_);_(* \(#,##0.000\);_(* &quot;-&quot;???_);_(@_)"/>
    <numFmt numFmtId="188" formatCode="_(* #,##0.00_);_(* \(#,##0.00\);_(* \-??_);_(@_)"/>
    <numFmt numFmtId="189" formatCode="_(* #,##0.0_);_(* \(#,##0.0\);_(* \-??_);_(@_)"/>
    <numFmt numFmtId="190" formatCode="_(* #,##0_);_(* \(#,##0\);_(* \-??_);_(@_)"/>
    <numFmt numFmtId="191" formatCode="#,##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0\ _₫_-;\-* #,##0.000\ _₫_-;_-* &quot;-&quot;???\ _₫_-;_-@_-"/>
    <numFmt numFmtId="197" formatCode="_-* #,##0.0\ _₫_-;\-* #,##0.0\ _₫_-;_-* &quot;-&quot;?\ _₫_-;_-@_-"/>
    <numFmt numFmtId="198" formatCode="0.000000"/>
    <numFmt numFmtId="199" formatCode="0.00000"/>
    <numFmt numFmtId="200" formatCode="0.0000"/>
  </numFmts>
  <fonts count="54">
    <font>
      <sz val="12"/>
      <name val="Times New Roman"/>
      <family val="0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name val=".VnTim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.VnTime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1"/>
      <color indexed="10"/>
      <name val="Times New Roman"/>
      <family val="1"/>
    </font>
    <font>
      <sz val="11"/>
      <name val="Times \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9"/>
      <name val="Times New Roman"/>
      <family val="1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4"/>
      <name val="Calibri Light"/>
      <family val="2"/>
    </font>
    <font>
      <b/>
      <sz val="10"/>
      <color indexed="8"/>
      <name val="Times New Roman"/>
      <family val="1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hair"/>
      <bottom style="hair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39" fillId="17" borderId="0" applyNumberFormat="0" applyBorder="0" applyAlignment="0" applyProtection="0"/>
    <xf numFmtId="0" fontId="40" fillId="9" borderId="1" applyNumberFormat="0" applyAlignment="0" applyProtection="0"/>
    <xf numFmtId="0" fontId="2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3" borderId="1" applyNumberFormat="0" applyAlignment="0" applyProtection="0"/>
    <xf numFmtId="0" fontId="47" fillId="0" borderId="6" applyNumberFormat="0" applyFill="0" applyAlignment="0" applyProtection="0"/>
    <xf numFmtId="0" fontId="4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5" borderId="7" applyNumberFormat="0" applyFont="0" applyAlignment="0" applyProtection="0"/>
    <xf numFmtId="0" fontId="49" fillId="9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71">
    <xf numFmtId="0" fontId="0" fillId="0" borderId="0" xfId="0" applyAlignment="1">
      <alignment/>
    </xf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172" fontId="4" fillId="4" borderId="0" xfId="42" applyNumberFormat="1" applyFont="1" applyFill="1" applyAlignment="1">
      <alignment horizontal="center" vertical="center"/>
    </xf>
    <xf numFmtId="43" fontId="4" fillId="4" borderId="0" xfId="42" applyFont="1" applyFill="1" applyAlignment="1">
      <alignment horizontal="center" vertical="center"/>
    </xf>
    <xf numFmtId="174" fontId="7" fillId="4" borderId="10" xfId="42" applyNumberFormat="1" applyFont="1" applyFill="1" applyBorder="1" applyAlignment="1">
      <alignment horizontal="right" vertical="center" wrapText="1"/>
    </xf>
    <xf numFmtId="172" fontId="7" fillId="4" borderId="10" xfId="42" applyNumberFormat="1" applyFont="1" applyFill="1" applyBorder="1" applyAlignment="1">
      <alignment horizontal="right" vertical="center" wrapText="1"/>
    </xf>
    <xf numFmtId="3" fontId="7" fillId="4" borderId="10" xfId="0" applyNumberFormat="1" applyFont="1" applyFill="1" applyBorder="1" applyAlignment="1">
      <alignment vertical="center" wrapText="1"/>
    </xf>
    <xf numFmtId="172" fontId="5" fillId="4" borderId="10" xfId="42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3" fontId="5" fillId="4" borderId="10" xfId="0" applyNumberFormat="1" applyFont="1" applyFill="1" applyBorder="1" applyAlignment="1">
      <alignment vertical="center" wrapText="1"/>
    </xf>
    <xf numFmtId="0" fontId="7" fillId="4" borderId="10" xfId="0" applyFont="1" applyFill="1" applyBorder="1" applyAlignment="1" quotePrefix="1">
      <alignment horizontal="center" vertical="center" wrapText="1"/>
    </xf>
    <xf numFmtId="0" fontId="7" fillId="4" borderId="10" xfId="0" applyFont="1" applyFill="1" applyBorder="1" applyAlignment="1">
      <alignment vertical="center" wrapText="1"/>
    </xf>
    <xf numFmtId="3" fontId="8" fillId="4" borderId="10" xfId="0" applyNumberFormat="1" applyFont="1" applyFill="1" applyBorder="1" applyAlignment="1">
      <alignment vertical="center" wrapText="1"/>
    </xf>
    <xf numFmtId="0" fontId="5" fillId="4" borderId="10" xfId="79" applyFont="1" applyFill="1" applyBorder="1" applyAlignment="1">
      <alignment horizontal="center" vertical="center" wrapText="1"/>
    </xf>
    <xf numFmtId="0" fontId="7" fillId="4" borderId="10" xfId="79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5" fillId="4" borderId="10" xfId="79" applyFont="1" applyFill="1" applyBorder="1" applyAlignment="1">
      <alignment horizontal="left" vertical="center" wrapText="1"/>
    </xf>
    <xf numFmtId="0" fontId="10" fillId="4" borderId="10" xfId="79" applyFont="1" applyFill="1" applyBorder="1" applyAlignment="1">
      <alignment horizontal="center" vertical="center" wrapText="1"/>
    </xf>
    <xf numFmtId="0" fontId="7" fillId="4" borderId="10" xfId="79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79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 indent="2"/>
    </xf>
    <xf numFmtId="0" fontId="18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172" fontId="10" fillId="4" borderId="10" xfId="51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18" borderId="0" xfId="0" applyFont="1" applyFill="1" applyAlignment="1">
      <alignment/>
    </xf>
    <xf numFmtId="3" fontId="7" fillId="4" borderId="10" xfId="0" applyNumberFormat="1" applyFont="1" applyFill="1" applyBorder="1" applyAlignment="1">
      <alignment vertical="center"/>
    </xf>
    <xf numFmtId="178" fontId="7" fillId="4" borderId="10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horizontal="center" vertical="center" wrapText="1"/>
    </xf>
    <xf numFmtId="173" fontId="7" fillId="4" borderId="10" xfId="42" applyNumberFormat="1" applyFont="1" applyFill="1" applyBorder="1" applyAlignment="1">
      <alignment horizontal="center" vertical="center" wrapText="1"/>
    </xf>
    <xf numFmtId="174" fontId="7" fillId="4" borderId="10" xfId="42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43" fontId="5" fillId="4" borderId="10" xfId="42" applyFont="1" applyFill="1" applyBorder="1" applyAlignment="1">
      <alignment horizontal="right" vertical="center" wrapText="1"/>
    </xf>
    <xf numFmtId="174" fontId="5" fillId="4" borderId="10" xfId="42" applyNumberFormat="1" applyFont="1" applyFill="1" applyBorder="1" applyAlignment="1">
      <alignment horizontal="center" vertical="center" wrapText="1"/>
    </xf>
    <xf numFmtId="173" fontId="5" fillId="4" borderId="10" xfId="42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/>
    </xf>
    <xf numFmtId="3" fontId="7" fillId="4" borderId="10" xfId="0" applyNumberFormat="1" applyFont="1" applyFill="1" applyBorder="1" applyAlignment="1">
      <alignment horizontal="left" vertical="center" wrapText="1" indent="10"/>
    </xf>
    <xf numFmtId="43" fontId="7" fillId="4" borderId="10" xfId="42" applyFont="1" applyFill="1" applyBorder="1" applyAlignment="1">
      <alignment horizontal="right" vertical="center" wrapText="1"/>
    </xf>
    <xf numFmtId="0" fontId="19" fillId="4" borderId="0" xfId="0" applyFont="1" applyFill="1" applyAlignment="1">
      <alignment/>
    </xf>
    <xf numFmtId="3" fontId="7" fillId="4" borderId="10" xfId="0" applyNumberFormat="1" applyFont="1" applyFill="1" applyBorder="1" applyAlignment="1">
      <alignment horizontal="left" vertical="center" wrapText="1" indent="2"/>
    </xf>
    <xf numFmtId="173" fontId="7" fillId="4" borderId="10" xfId="51" applyFont="1" applyFill="1" applyBorder="1" applyAlignment="1">
      <alignment horizontal="right" vertical="center" wrapText="1"/>
    </xf>
    <xf numFmtId="173" fontId="7" fillId="4" borderId="10" xfId="51" applyNumberFormat="1" applyFont="1" applyFill="1" applyBorder="1" applyAlignment="1">
      <alignment horizontal="right" vertical="center" wrapText="1"/>
    </xf>
    <xf numFmtId="172" fontId="7" fillId="4" borderId="10" xfId="51" applyNumberFormat="1" applyFont="1" applyFill="1" applyBorder="1" applyAlignment="1">
      <alignment horizontal="right" vertical="center" wrapText="1"/>
    </xf>
    <xf numFmtId="173" fontId="5" fillId="4" borderId="10" xfId="51" applyFont="1" applyFill="1" applyBorder="1" applyAlignment="1">
      <alignment horizontal="right" vertical="center" wrapText="1"/>
    </xf>
    <xf numFmtId="0" fontId="2" fillId="4" borderId="0" xfId="0" applyFont="1" applyFill="1" applyAlignment="1">
      <alignment/>
    </xf>
    <xf numFmtId="172" fontId="5" fillId="4" borderId="10" xfId="51" applyNumberFormat="1" applyFont="1" applyFill="1" applyBorder="1" applyAlignment="1">
      <alignment horizontal="right" vertical="center" wrapText="1"/>
    </xf>
    <xf numFmtId="175" fontId="5" fillId="4" borderId="10" xfId="42" applyNumberFormat="1" applyFont="1" applyFill="1" applyBorder="1" applyAlignment="1">
      <alignment horizontal="right" vertical="center" wrapText="1"/>
    </xf>
    <xf numFmtId="173" fontId="5" fillId="4" borderId="10" xfId="42" applyNumberFormat="1" applyFont="1" applyFill="1" applyBorder="1" applyAlignment="1">
      <alignment horizontal="right" vertical="center" wrapText="1"/>
    </xf>
    <xf numFmtId="173" fontId="7" fillId="4" borderId="10" xfId="42" applyNumberFormat="1" applyFont="1" applyFill="1" applyBorder="1" applyAlignment="1">
      <alignment horizontal="right" vertical="center" wrapText="1"/>
    </xf>
    <xf numFmtId="172" fontId="5" fillId="4" borderId="10" xfId="42" applyNumberFormat="1" applyFont="1" applyFill="1" applyBorder="1" applyAlignment="1">
      <alignment horizontal="right" vertical="center" wrapText="1"/>
    </xf>
    <xf numFmtId="0" fontId="11" fillId="4" borderId="0" xfId="0" applyFont="1" applyFill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2" fillId="4" borderId="10" xfId="42" applyNumberFormat="1" applyFont="1" applyFill="1" applyBorder="1" applyAlignment="1">
      <alignment horizontal="right" vertical="center" wrapText="1"/>
    </xf>
    <xf numFmtId="1" fontId="0" fillId="4" borderId="10" xfId="42" applyNumberFormat="1" applyFont="1" applyFill="1" applyBorder="1" applyAlignment="1">
      <alignment horizontal="right" vertical="center" wrapText="1"/>
    </xf>
    <xf numFmtId="2" fontId="0" fillId="4" borderId="10" xfId="42" applyNumberFormat="1" applyFont="1" applyFill="1" applyBorder="1" applyAlignment="1">
      <alignment horizontal="right" vertical="center" wrapText="1"/>
    </xf>
    <xf numFmtId="0" fontId="0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172" fontId="2" fillId="4" borderId="0" xfId="0" applyNumberFormat="1" applyFont="1" applyFill="1" applyAlignment="1">
      <alignment horizontal="left" vertical="center"/>
    </xf>
    <xf numFmtId="0" fontId="12" fillId="4" borderId="0" xfId="0" applyFont="1" applyFill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5" fillId="4" borderId="10" xfId="73" applyFont="1" applyFill="1" applyBorder="1" applyAlignment="1">
      <alignment horizontal="left" vertical="center" wrapText="1"/>
      <protection/>
    </xf>
    <xf numFmtId="3" fontId="7" fillId="4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78" fontId="7" fillId="4" borderId="10" xfId="0" applyNumberFormat="1" applyFont="1" applyFill="1" applyBorder="1" applyAlignment="1">
      <alignment horizontal="right" vertical="center" wrapText="1"/>
    </xf>
    <xf numFmtId="43" fontId="2" fillId="4" borderId="0" xfId="42" applyFont="1" applyFill="1" applyBorder="1" applyAlignment="1">
      <alignment vertical="center"/>
    </xf>
    <xf numFmtId="172" fontId="7" fillId="4" borderId="10" xfId="45" applyNumberFormat="1" applyFont="1" applyFill="1" applyBorder="1" applyAlignment="1">
      <alignment horizontal="right" vertical="center" wrapText="1"/>
    </xf>
    <xf numFmtId="173" fontId="7" fillId="4" borderId="10" xfId="45" applyFont="1" applyFill="1" applyBorder="1" applyAlignment="1">
      <alignment horizontal="right" vertical="center" wrapText="1"/>
    </xf>
    <xf numFmtId="177" fontId="1" fillId="4" borderId="10" xfId="0" applyNumberFormat="1" applyFont="1" applyFill="1" applyBorder="1" applyAlignment="1">
      <alignment vertical="center"/>
    </xf>
    <xf numFmtId="178" fontId="1" fillId="4" borderId="10" xfId="0" applyNumberFormat="1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vertical="center"/>
    </xf>
    <xf numFmtId="3" fontId="1" fillId="4" borderId="10" xfId="0" applyNumberFormat="1" applyFont="1" applyFill="1" applyBorder="1" applyAlignment="1">
      <alignment horizontal="right" vertical="center" wrapText="1"/>
    </xf>
    <xf numFmtId="174" fontId="7" fillId="4" borderId="10" xfId="51" applyNumberFormat="1" applyFont="1" applyFill="1" applyBorder="1" applyAlignment="1">
      <alignment horizontal="right" vertical="center" wrapText="1"/>
    </xf>
    <xf numFmtId="0" fontId="2" fillId="4" borderId="0" xfId="0" applyFont="1" applyFill="1" applyAlignment="1">
      <alignment horizontal="center" vertical="center"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left" wrapText="1"/>
      <protection/>
    </xf>
    <xf numFmtId="0" fontId="9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left" vertical="center"/>
      <protection/>
    </xf>
    <xf numFmtId="0" fontId="0" fillId="4" borderId="10" xfId="0" applyNumberFormat="1" applyFont="1" applyFill="1" applyBorder="1" applyAlignment="1" applyProtection="1">
      <alignment horizontal="left"/>
      <protection/>
    </xf>
    <xf numFmtId="173" fontId="7" fillId="4" borderId="10" xfId="45" applyNumberFormat="1" applyFont="1" applyFill="1" applyBorder="1" applyAlignment="1">
      <alignment horizontal="right" vertical="center" wrapText="1"/>
    </xf>
    <xf numFmtId="4" fontId="7" fillId="4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26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/>
    </xf>
    <xf numFmtId="4" fontId="8" fillId="4" borderId="10" xfId="51" applyNumberFormat="1" applyFont="1" applyFill="1" applyBorder="1" applyAlignment="1">
      <alignment horizontal="right" vertical="center" wrapText="1"/>
    </xf>
    <xf numFmtId="0" fontId="0" fillId="4" borderId="10" xfId="0" applyNumberFormat="1" applyFont="1" applyFill="1" applyBorder="1" applyAlignment="1" applyProtection="1">
      <alignment horizontal="left" vertical="top"/>
      <protection/>
    </xf>
    <xf numFmtId="0" fontId="2" fillId="4" borderId="10" xfId="0" applyNumberFormat="1" applyFont="1" applyFill="1" applyBorder="1" applyAlignment="1" applyProtection="1">
      <alignment horizontal="center"/>
      <protection/>
    </xf>
    <xf numFmtId="172" fontId="5" fillId="4" borderId="10" xfId="45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vertical="center" wrapText="1"/>
    </xf>
    <xf numFmtId="177" fontId="5" fillId="4" borderId="10" xfId="42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/>
    </xf>
    <xf numFmtId="0" fontId="29" fillId="4" borderId="0" xfId="0" applyFont="1" applyFill="1" applyAlignment="1">
      <alignment/>
    </xf>
    <xf numFmtId="3" fontId="7" fillId="4" borderId="10" xfId="0" applyNumberFormat="1" applyFont="1" applyFill="1" applyBorder="1" applyAlignment="1" quotePrefix="1">
      <alignment horizontal="right" vertical="center" wrapText="1"/>
    </xf>
    <xf numFmtId="0" fontId="29" fillId="4" borderId="0" xfId="0" applyFont="1" applyFill="1" applyAlignment="1">
      <alignment/>
    </xf>
    <xf numFmtId="0" fontId="27" fillId="4" borderId="0" xfId="0" applyFont="1" applyFill="1" applyAlignment="1">
      <alignment/>
    </xf>
    <xf numFmtId="0" fontId="28" fillId="4" borderId="0" xfId="0" applyFont="1" applyFill="1" applyAlignment="1">
      <alignment/>
    </xf>
    <xf numFmtId="0" fontId="7" fillId="4" borderId="10" xfId="0" applyFont="1" applyFill="1" applyBorder="1" applyAlignment="1">
      <alignment horizontal="left" vertical="center"/>
    </xf>
    <xf numFmtId="184" fontId="7" fillId="4" borderId="10" xfId="0" applyNumberFormat="1" applyFont="1" applyFill="1" applyBorder="1" applyAlignment="1">
      <alignment horizontal="right" vertical="center" wrapText="1"/>
    </xf>
    <xf numFmtId="2" fontId="7" fillId="4" borderId="10" xfId="42" applyNumberFormat="1" applyFont="1" applyFill="1" applyBorder="1" applyAlignment="1">
      <alignment horizontal="right" vertical="center" wrapText="1"/>
    </xf>
    <xf numFmtId="1" fontId="7" fillId="4" borderId="10" xfId="42" applyNumberFormat="1" applyFont="1" applyFill="1" applyBorder="1" applyAlignment="1">
      <alignment horizontal="right" vertical="center" wrapText="1"/>
    </xf>
    <xf numFmtId="176" fontId="7" fillId="4" borderId="10" xfId="42" applyNumberFormat="1" applyFont="1" applyFill="1" applyBorder="1" applyAlignment="1">
      <alignment horizontal="center" vertical="center" wrapText="1"/>
    </xf>
    <xf numFmtId="0" fontId="5" fillId="4" borderId="10" xfId="71" applyFont="1" applyFill="1" applyBorder="1" applyAlignment="1">
      <alignment horizontal="center" vertical="center" wrapText="1"/>
      <protection/>
    </xf>
    <xf numFmtId="49" fontId="5" fillId="4" borderId="10" xfId="71" applyNumberFormat="1" applyFont="1" applyFill="1" applyBorder="1" applyAlignment="1">
      <alignment vertical="center" wrapText="1"/>
      <protection/>
    </xf>
    <xf numFmtId="0" fontId="12" fillId="4" borderId="10" xfId="71" applyFont="1" applyFill="1" applyBorder="1" applyAlignment="1">
      <alignment horizontal="center" vertical="center" wrapText="1"/>
      <protection/>
    </xf>
    <xf numFmtId="43" fontId="5" fillId="4" borderId="10" xfId="42" applyNumberFormat="1" applyFont="1" applyFill="1" applyBorder="1" applyAlignment="1">
      <alignment horizontal="right" vertical="center" wrapText="1"/>
    </xf>
    <xf numFmtId="176" fontId="5" fillId="4" borderId="10" xfId="42" applyNumberFormat="1" applyFont="1" applyFill="1" applyBorder="1" applyAlignment="1">
      <alignment horizontal="right" vertical="center" wrapText="1"/>
    </xf>
    <xf numFmtId="0" fontId="6" fillId="4" borderId="10" xfId="71" applyFont="1" applyFill="1" applyBorder="1" applyAlignment="1">
      <alignment horizontal="center" vertical="center" wrapText="1"/>
      <protection/>
    </xf>
    <xf numFmtId="49" fontId="6" fillId="4" borderId="10" xfId="71" applyNumberFormat="1" applyFont="1" applyFill="1" applyBorder="1" applyAlignment="1">
      <alignment vertical="center" wrapText="1"/>
      <protection/>
    </xf>
    <xf numFmtId="0" fontId="23" fillId="4" borderId="10" xfId="71" applyFont="1" applyFill="1" applyBorder="1" applyAlignment="1">
      <alignment horizontal="center" vertical="center" wrapText="1"/>
      <protection/>
    </xf>
    <xf numFmtId="0" fontId="7" fillId="4" borderId="10" xfId="71" applyFont="1" applyFill="1" applyBorder="1" applyAlignment="1">
      <alignment horizontal="center" vertical="center" wrapText="1"/>
      <protection/>
    </xf>
    <xf numFmtId="49" fontId="7" fillId="4" borderId="10" xfId="71" applyNumberFormat="1" applyFont="1" applyFill="1" applyBorder="1" applyAlignment="1" quotePrefix="1">
      <alignment vertical="center" wrapText="1"/>
      <protection/>
    </xf>
    <xf numFmtId="0" fontId="10" fillId="4" borderId="10" xfId="71" applyFont="1" applyFill="1" applyBorder="1" applyAlignment="1">
      <alignment horizontal="center" vertical="center" wrapText="1"/>
      <protection/>
    </xf>
    <xf numFmtId="43" fontId="7" fillId="4" borderId="10" xfId="42" applyNumberFormat="1" applyFont="1" applyFill="1" applyBorder="1" applyAlignment="1">
      <alignment horizontal="right" vertical="center" wrapText="1"/>
    </xf>
    <xf numFmtId="176" fontId="7" fillId="4" borderId="10" xfId="42" applyNumberFormat="1" applyFont="1" applyFill="1" applyBorder="1" applyAlignment="1">
      <alignment horizontal="right" vertical="center" wrapText="1"/>
    </xf>
    <xf numFmtId="49" fontId="7" fillId="4" borderId="10" xfId="71" applyNumberFormat="1" applyFont="1" applyFill="1" applyBorder="1" applyAlignment="1">
      <alignment vertical="center" wrapText="1"/>
      <protection/>
    </xf>
    <xf numFmtId="0" fontId="8" fillId="4" borderId="10" xfId="71" applyFont="1" applyFill="1" applyBorder="1" applyAlignment="1">
      <alignment horizontal="center" vertical="center" wrapText="1"/>
      <protection/>
    </xf>
    <xf numFmtId="49" fontId="8" fillId="4" borderId="10" xfId="71" applyNumberFormat="1" applyFont="1" applyFill="1" applyBorder="1" applyAlignment="1">
      <alignment vertical="center" wrapText="1"/>
      <protection/>
    </xf>
    <xf numFmtId="0" fontId="17" fillId="4" borderId="10" xfId="71" applyFont="1" applyFill="1" applyBorder="1" applyAlignment="1">
      <alignment horizontal="center" vertical="center" wrapText="1"/>
      <protection/>
    </xf>
    <xf numFmtId="0" fontId="10" fillId="4" borderId="10" xfId="0" applyFont="1" applyFill="1" applyBorder="1" applyAlignment="1">
      <alignment vertical="center"/>
    </xf>
    <xf numFmtId="49" fontId="7" fillId="4" borderId="10" xfId="71" applyNumberFormat="1" applyFont="1" applyFill="1" applyBorder="1" applyAlignment="1" quotePrefix="1">
      <alignment horizontal="left" vertical="center" wrapText="1" indent="2"/>
      <protection/>
    </xf>
    <xf numFmtId="49" fontId="5" fillId="4" borderId="10" xfId="71" applyNumberFormat="1" applyFont="1" applyFill="1" applyBorder="1" applyAlignment="1">
      <alignment horizontal="left" vertical="center" wrapText="1"/>
      <protection/>
    </xf>
    <xf numFmtId="49" fontId="7" fillId="4" borderId="10" xfId="71" applyNumberFormat="1" applyFont="1" applyFill="1" applyBorder="1" applyAlignment="1">
      <alignment horizontal="left" vertical="center" wrapText="1" indent="1"/>
      <protection/>
    </xf>
    <xf numFmtId="49" fontId="7" fillId="4" borderId="10" xfId="71" applyNumberFormat="1" applyFont="1" applyFill="1" applyBorder="1" applyAlignment="1" quotePrefix="1">
      <alignment horizontal="left" vertical="center" wrapText="1" indent="1"/>
      <protection/>
    </xf>
    <xf numFmtId="49" fontId="7" fillId="4" borderId="10" xfId="71" applyNumberFormat="1" applyFont="1" applyFill="1" applyBorder="1" applyAlignment="1">
      <alignment horizontal="left" vertical="center" wrapText="1"/>
      <protection/>
    </xf>
    <xf numFmtId="49" fontId="7" fillId="4" borderId="10" xfId="72" applyNumberFormat="1" applyFont="1" applyFill="1" applyBorder="1" applyAlignment="1" quotePrefix="1">
      <alignment vertical="center" wrapText="1"/>
      <protection/>
    </xf>
    <xf numFmtId="0" fontId="7" fillId="4" borderId="10" xfId="71" applyFont="1" applyFill="1" applyBorder="1" applyAlignment="1">
      <alignment vertical="center" wrapText="1"/>
      <protection/>
    </xf>
    <xf numFmtId="0" fontId="7" fillId="4" borderId="10" xfId="71" applyFont="1" applyFill="1" applyBorder="1" applyAlignment="1">
      <alignment horizontal="right" vertical="center" wrapText="1"/>
      <protection/>
    </xf>
    <xf numFmtId="0" fontId="12" fillId="4" borderId="10" xfId="67" applyFont="1" applyFill="1" applyBorder="1" applyAlignment="1">
      <alignment vertical="center"/>
      <protection/>
    </xf>
    <xf numFmtId="49" fontId="5" fillId="4" borderId="10" xfId="71" applyNumberFormat="1" applyFont="1" applyFill="1" applyBorder="1" applyAlignment="1" quotePrefix="1">
      <alignment vertical="center" wrapText="1"/>
      <protection/>
    </xf>
    <xf numFmtId="49" fontId="5" fillId="4" borderId="10" xfId="71" applyNumberFormat="1" applyFont="1" applyFill="1" applyBorder="1" applyAlignment="1">
      <alignment horizontal="center" vertical="center" wrapText="1"/>
      <protection/>
    </xf>
    <xf numFmtId="176" fontId="5" fillId="4" borderId="10" xfId="0" applyNumberFormat="1" applyFont="1" applyFill="1" applyBorder="1" applyAlignment="1">
      <alignment vertical="center"/>
    </xf>
    <xf numFmtId="176" fontId="7" fillId="4" borderId="10" xfId="0" applyNumberFormat="1" applyFont="1" applyFill="1" applyBorder="1" applyAlignment="1">
      <alignment vertical="center"/>
    </xf>
    <xf numFmtId="176" fontId="7" fillId="4" borderId="10" xfId="55" applyNumberFormat="1" applyFont="1" applyFill="1" applyBorder="1" applyAlignment="1">
      <alignment horizontal="right" vertical="center" wrapText="1"/>
    </xf>
    <xf numFmtId="176" fontId="7" fillId="4" borderId="10" xfId="0" applyNumberFormat="1" applyFont="1" applyFill="1" applyBorder="1" applyAlignment="1">
      <alignment horizontal="left" vertical="center"/>
    </xf>
    <xf numFmtId="176" fontId="6" fillId="4" borderId="10" xfId="0" applyNumberFormat="1" applyFont="1" applyFill="1" applyBorder="1" applyAlignment="1">
      <alignment horizontal="left" vertical="center"/>
    </xf>
    <xf numFmtId="176" fontId="6" fillId="4" borderId="10" xfId="0" applyNumberFormat="1" applyFont="1" applyFill="1" applyBorder="1" applyAlignment="1">
      <alignment vertical="center"/>
    </xf>
    <xf numFmtId="177" fontId="7" fillId="4" borderId="10" xfId="0" applyNumberFormat="1" applyFont="1" applyFill="1" applyBorder="1" applyAlignment="1">
      <alignment horizontal="left" vertical="center"/>
    </xf>
    <xf numFmtId="177" fontId="7" fillId="4" borderId="10" xfId="0" applyNumberFormat="1" applyFont="1" applyFill="1" applyBorder="1" applyAlignment="1">
      <alignment vertical="center"/>
    </xf>
    <xf numFmtId="43" fontId="7" fillId="4" borderId="10" xfId="0" applyNumberFormat="1" applyFont="1" applyFill="1" applyBorder="1" applyAlignment="1">
      <alignment vertical="center"/>
    </xf>
    <xf numFmtId="176" fontId="7" fillId="4" borderId="10" xfId="51" applyNumberFormat="1" applyFont="1" applyFill="1" applyBorder="1" applyAlignment="1">
      <alignment horizontal="right" vertical="center" wrapText="1"/>
    </xf>
    <xf numFmtId="177" fontId="7" fillId="4" borderId="10" xfId="55" applyNumberFormat="1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vertical="center"/>
    </xf>
    <xf numFmtId="0" fontId="2" fillId="4" borderId="10" xfId="0" applyNumberFormat="1" applyFont="1" applyFill="1" applyBorder="1" applyAlignment="1" applyProtection="1">
      <alignment horizontal="left"/>
      <protection/>
    </xf>
    <xf numFmtId="3" fontId="8" fillId="4" borderId="10" xfId="0" applyNumberFormat="1" applyFont="1" applyFill="1" applyBorder="1" applyAlignment="1">
      <alignment horizontal="right" vertical="center" wrapText="1"/>
    </xf>
    <xf numFmtId="178" fontId="5" fillId="4" borderId="10" xfId="0" applyNumberFormat="1" applyFont="1" applyFill="1" applyBorder="1" applyAlignment="1">
      <alignment vertical="center"/>
    </xf>
    <xf numFmtId="176" fontId="8" fillId="4" borderId="10" xfId="0" applyNumberFormat="1" applyFont="1" applyFill="1" applyBorder="1" applyAlignment="1">
      <alignment vertical="center"/>
    </xf>
    <xf numFmtId="0" fontId="27" fillId="4" borderId="0" xfId="0" applyFont="1" applyFill="1" applyAlignment="1">
      <alignment/>
    </xf>
    <xf numFmtId="0" fontId="5" fillId="4" borderId="10" xfId="42" applyNumberFormat="1" applyFont="1" applyFill="1" applyBorder="1" applyAlignment="1">
      <alignment horizontal="right" vertical="center" wrapText="1"/>
    </xf>
    <xf numFmtId="181" fontId="7" fillId="4" borderId="10" xfId="42" applyNumberFormat="1" applyFont="1" applyFill="1" applyBorder="1" applyAlignment="1">
      <alignment horizontal="right" vertical="center" wrapText="1"/>
    </xf>
    <xf numFmtId="0" fontId="7" fillId="4" borderId="10" xfId="79" applyFont="1" applyFill="1" applyBorder="1" applyAlignment="1">
      <alignment horizontal="right" vertical="center" wrapText="1"/>
    </xf>
    <xf numFmtId="183" fontId="7" fillId="4" borderId="10" xfId="0" applyNumberFormat="1" applyFont="1" applyFill="1" applyBorder="1" applyAlignment="1">
      <alignment horizontal="right" vertical="center" wrapText="1"/>
    </xf>
    <xf numFmtId="2" fontId="8" fillId="4" borderId="10" xfId="42" applyNumberFormat="1" applyFont="1" applyFill="1" applyBorder="1" applyAlignment="1">
      <alignment horizontal="right" vertical="center" wrapText="1"/>
    </xf>
    <xf numFmtId="3" fontId="7" fillId="4" borderId="10" xfId="42" applyNumberFormat="1" applyFont="1" applyFill="1" applyBorder="1" applyAlignment="1">
      <alignment horizontal="right" vertical="center" wrapText="1"/>
    </xf>
    <xf numFmtId="181" fontId="8" fillId="4" borderId="10" xfId="42" applyNumberFormat="1" applyFont="1" applyFill="1" applyBorder="1" applyAlignment="1">
      <alignment horizontal="right" vertical="center" wrapText="1"/>
    </xf>
    <xf numFmtId="178" fontId="8" fillId="4" borderId="10" xfId="42" applyNumberFormat="1" applyFont="1" applyFill="1" applyBorder="1" applyAlignment="1">
      <alignment horizontal="right" vertical="center" wrapText="1"/>
    </xf>
    <xf numFmtId="1" fontId="5" fillId="4" borderId="10" xfId="42" applyNumberFormat="1" applyFont="1" applyFill="1" applyBorder="1" applyAlignment="1">
      <alignment horizontal="right" vertical="center" wrapText="1"/>
    </xf>
    <xf numFmtId="2" fontId="6" fillId="4" borderId="10" xfId="42" applyNumberFormat="1" applyFont="1" applyFill="1" applyBorder="1" applyAlignment="1">
      <alignment horizontal="right" vertical="center" wrapText="1"/>
    </xf>
    <xf numFmtId="1" fontId="7" fillId="4" borderId="10" xfId="0" applyNumberFormat="1" applyFont="1" applyFill="1" applyBorder="1" applyAlignment="1">
      <alignment horizontal="right" vertical="center" wrapText="1"/>
    </xf>
    <xf numFmtId="185" fontId="7" fillId="4" borderId="10" xfId="42" applyNumberFormat="1" applyFont="1" applyFill="1" applyBorder="1" applyAlignment="1">
      <alignment horizontal="right" vertical="center" wrapText="1"/>
    </xf>
    <xf numFmtId="43" fontId="5" fillId="4" borderId="10" xfId="42" applyNumberFormat="1" applyFont="1" applyFill="1" applyBorder="1" applyAlignment="1">
      <alignment horizontal="center" vertical="center" wrapText="1"/>
    </xf>
    <xf numFmtId="43" fontId="7" fillId="4" borderId="10" xfId="42" applyNumberFormat="1" applyFont="1" applyFill="1" applyBorder="1" applyAlignment="1">
      <alignment horizontal="center" vertical="center" wrapText="1"/>
    </xf>
    <xf numFmtId="43" fontId="34" fillId="4" borderId="10" xfId="42" applyFont="1" applyFill="1" applyBorder="1" applyAlignment="1">
      <alignment horizontal="right" vertical="center" wrapText="1"/>
    </xf>
    <xf numFmtId="173" fontId="34" fillId="4" borderId="10" xfId="51" applyFont="1" applyFill="1" applyBorder="1" applyAlignment="1">
      <alignment horizontal="right" vertical="center" wrapText="1"/>
    </xf>
    <xf numFmtId="174" fontId="34" fillId="4" borderId="10" xfId="51" applyNumberFormat="1" applyFont="1" applyFill="1" applyBorder="1" applyAlignment="1">
      <alignment horizontal="right" vertical="center" wrapText="1"/>
    </xf>
    <xf numFmtId="173" fontId="35" fillId="4" borderId="10" xfId="51" applyFont="1" applyFill="1" applyBorder="1" applyAlignment="1">
      <alignment horizontal="right" vertical="center" wrapText="1"/>
    </xf>
    <xf numFmtId="43" fontId="34" fillId="4" borderId="10" xfId="42" applyNumberFormat="1" applyFont="1" applyFill="1" applyBorder="1" applyAlignment="1">
      <alignment horizontal="center" vertical="center" wrapText="1"/>
    </xf>
    <xf numFmtId="177" fontId="34" fillId="4" borderId="10" xfId="42" applyNumberFormat="1" applyFont="1" applyFill="1" applyBorder="1" applyAlignment="1">
      <alignment horizontal="center" vertical="center" wrapText="1"/>
    </xf>
    <xf numFmtId="177" fontId="35" fillId="4" borderId="10" xfId="42" applyNumberFormat="1" applyFont="1" applyFill="1" applyBorder="1" applyAlignment="1">
      <alignment horizontal="center" vertical="center" wrapText="1"/>
    </xf>
    <xf numFmtId="176" fontId="5" fillId="4" borderId="10" xfId="42" applyNumberFormat="1" applyFont="1" applyFill="1" applyBorder="1" applyAlignment="1">
      <alignment horizontal="center" vertical="center" wrapText="1"/>
    </xf>
    <xf numFmtId="43" fontId="7" fillId="4" borderId="10" xfId="42" applyFont="1" applyFill="1" applyBorder="1" applyAlignment="1">
      <alignment horizontal="center" vertical="center" wrapText="1"/>
    </xf>
    <xf numFmtId="43" fontId="34" fillId="4" borderId="10" xfId="42" applyFont="1" applyFill="1" applyBorder="1" applyAlignment="1">
      <alignment horizontal="center" vertical="center" wrapText="1"/>
    </xf>
    <xf numFmtId="0" fontId="30" fillId="4" borderId="0" xfId="0" applyFont="1" applyFill="1" applyAlignment="1">
      <alignment/>
    </xf>
    <xf numFmtId="0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4" borderId="10" xfId="0" applyNumberFormat="1" applyFont="1" applyFill="1" applyBorder="1" applyAlignment="1" applyProtection="1">
      <alignment vertical="center" wrapText="1"/>
      <protection/>
    </xf>
    <xf numFmtId="0" fontId="2" fillId="4" borderId="10" xfId="0" applyNumberFormat="1" applyFont="1" applyFill="1" applyBorder="1" applyAlignment="1" applyProtection="1">
      <alignment horizontal="center"/>
      <protection/>
    </xf>
    <xf numFmtId="0" fontId="2" fillId="4" borderId="10" xfId="0" applyNumberFormat="1" applyFont="1" applyFill="1" applyBorder="1" applyAlignment="1" applyProtection="1">
      <alignment vertical="center"/>
      <protection/>
    </xf>
    <xf numFmtId="1" fontId="34" fillId="19" borderId="10" xfId="0" applyNumberFormat="1" applyFont="1" applyFill="1" applyBorder="1" applyAlignment="1">
      <alignment horizontal="right" wrapText="1"/>
    </xf>
    <xf numFmtId="181" fontId="34" fillId="19" borderId="10" xfId="0" applyNumberFormat="1" applyFont="1" applyFill="1" applyBorder="1" applyAlignment="1">
      <alignment horizontal="right" wrapText="1"/>
    </xf>
    <xf numFmtId="181" fontId="34" fillId="19" borderId="10" xfId="0" applyNumberFormat="1" applyFont="1" applyFill="1" applyBorder="1" applyAlignment="1">
      <alignment horizontal="right" vertical="center" wrapText="1"/>
    </xf>
    <xf numFmtId="2" fontId="34" fillId="19" borderId="10" xfId="0" applyNumberFormat="1" applyFont="1" applyFill="1" applyBorder="1" applyAlignment="1">
      <alignment horizontal="right" vertical="center" wrapText="1"/>
    </xf>
    <xf numFmtId="188" fontId="34" fillId="19" borderId="10" xfId="0" applyNumberFormat="1" applyFont="1" applyFill="1" applyBorder="1" applyAlignment="1">
      <alignment horizontal="right" vertical="center" wrapText="1"/>
    </xf>
    <xf numFmtId="189" fontId="34" fillId="19" borderId="10" xfId="0" applyNumberFormat="1" applyFont="1" applyFill="1" applyBorder="1" applyAlignment="1">
      <alignment horizontal="right" vertical="center" wrapText="1"/>
    </xf>
    <xf numFmtId="176" fontId="34" fillId="4" borderId="10" xfId="42" applyNumberFormat="1" applyFont="1" applyFill="1" applyBorder="1" applyAlignment="1">
      <alignment horizontal="center" vertical="center" wrapText="1"/>
    </xf>
    <xf numFmtId="1" fontId="34" fillId="4" borderId="10" xfId="69" applyNumberFormat="1" applyFont="1" applyFill="1" applyBorder="1" applyAlignment="1" applyProtection="1">
      <alignment horizontal="right" vertical="center"/>
      <protection locked="0"/>
    </xf>
    <xf numFmtId="177" fontId="7" fillId="4" borderId="10" xfId="46" applyNumberFormat="1" applyFont="1" applyFill="1" applyBorder="1" applyAlignment="1">
      <alignment horizontal="right" vertical="center" wrapText="1"/>
    </xf>
    <xf numFmtId="181" fontId="7" fillId="4" borderId="10" xfId="55" applyNumberFormat="1" applyFont="1" applyFill="1" applyBorder="1" applyAlignment="1">
      <alignment horizontal="right" vertical="center" wrapText="1"/>
    </xf>
    <xf numFmtId="190" fontId="34" fillId="19" borderId="10" xfId="0" applyNumberFormat="1" applyFont="1" applyFill="1" applyBorder="1" applyAlignment="1">
      <alignment horizontal="right" vertical="center" wrapText="1"/>
    </xf>
    <xf numFmtId="177" fontId="7" fillId="4" borderId="10" xfId="42" applyNumberFormat="1" applyFont="1" applyFill="1" applyBorder="1" applyAlignment="1">
      <alignment horizontal="right" vertical="center" wrapText="1"/>
    </xf>
    <xf numFmtId="0" fontId="12" fillId="4" borderId="0" xfId="0" applyFont="1" applyFill="1" applyAlignment="1">
      <alignment vertical="center"/>
    </xf>
    <xf numFmtId="173" fontId="2" fillId="4" borderId="0" xfId="42" applyNumberFormat="1" applyFont="1" applyFill="1" applyAlignment="1">
      <alignment vertical="center"/>
    </xf>
    <xf numFmtId="0" fontId="12" fillId="4" borderId="0" xfId="0" applyFont="1" applyFill="1" applyAlignment="1">
      <alignment horizontal="center" vertical="center" wrapText="1"/>
    </xf>
    <xf numFmtId="173" fontId="2" fillId="4" borderId="0" xfId="0" applyNumberFormat="1" applyFont="1" applyFill="1" applyAlignment="1">
      <alignment horizontal="left" vertical="center"/>
    </xf>
    <xf numFmtId="173" fontId="2" fillId="4" borderId="0" xfId="42" applyNumberFormat="1" applyFont="1" applyFill="1" applyAlignment="1">
      <alignment horizontal="left" vertical="center"/>
    </xf>
    <xf numFmtId="0" fontId="14" fillId="4" borderId="10" xfId="0" applyFont="1" applyFill="1" applyBorder="1" applyAlignment="1">
      <alignment horizontal="center" vertical="center" wrapText="1"/>
    </xf>
    <xf numFmtId="3" fontId="7" fillId="4" borderId="10" xfId="42" applyNumberFormat="1" applyFont="1" applyFill="1" applyBorder="1" applyAlignment="1">
      <alignment vertical="center" wrapText="1"/>
    </xf>
    <xf numFmtId="3" fontId="5" fillId="4" borderId="10" xfId="51" applyNumberFormat="1" applyFont="1" applyFill="1" applyBorder="1" applyAlignment="1">
      <alignment horizontal="right" vertical="center" wrapText="1"/>
    </xf>
    <xf numFmtId="178" fontId="5" fillId="4" borderId="10" xfId="51" applyNumberFormat="1" applyFont="1" applyFill="1" applyBorder="1" applyAlignment="1">
      <alignment horizontal="right" vertical="center" wrapText="1"/>
    </xf>
    <xf numFmtId="0" fontId="5" fillId="4" borderId="10" xfId="0" applyFont="1" applyFill="1" applyBorder="1" applyAlignment="1">
      <alignment horizontal="right" vertical="center"/>
    </xf>
    <xf numFmtId="0" fontId="0" fillId="4" borderId="0" xfId="0" applyFont="1" applyFill="1" applyAlignment="1">
      <alignment/>
    </xf>
    <xf numFmtId="0" fontId="15" fillId="4" borderId="10" xfId="0" applyFont="1" applyFill="1" applyBorder="1" applyAlignment="1">
      <alignment horizontal="center" vertical="center" wrapText="1"/>
    </xf>
    <xf numFmtId="178" fontId="7" fillId="4" borderId="10" xfId="51" applyNumberFormat="1" applyFont="1" applyFill="1" applyBorder="1" applyAlignment="1">
      <alignment horizontal="right" vertical="center" wrapText="1"/>
    </xf>
    <xf numFmtId="3" fontId="7" fillId="4" borderId="10" xfId="51" applyNumberFormat="1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right" vertical="center"/>
    </xf>
    <xf numFmtId="41" fontId="7" fillId="4" borderId="10" xfId="0" applyNumberFormat="1" applyFont="1" applyFill="1" applyBorder="1" applyAlignment="1">
      <alignment horizontal="right" vertical="center" wrapText="1"/>
    </xf>
    <xf numFmtId="0" fontId="5" fillId="4" borderId="10" xfId="79" applyFont="1" applyFill="1" applyBorder="1" applyAlignment="1">
      <alignment vertical="center" wrapText="1"/>
    </xf>
    <xf numFmtId="0" fontId="14" fillId="4" borderId="10" xfId="79" applyFont="1" applyFill="1" applyBorder="1" applyAlignment="1">
      <alignment horizontal="center" vertical="center" wrapText="1"/>
    </xf>
    <xf numFmtId="3" fontId="5" fillId="4" borderId="10" xfId="42" applyNumberFormat="1" applyFont="1" applyFill="1" applyBorder="1" applyAlignment="1">
      <alignment vertical="center" wrapText="1"/>
    </xf>
    <xf numFmtId="172" fontId="5" fillId="4" borderId="10" xfId="51" applyNumberFormat="1" applyFont="1" applyFill="1" applyBorder="1" applyAlignment="1">
      <alignment vertical="center"/>
    </xf>
    <xf numFmtId="0" fontId="7" fillId="4" borderId="10" xfId="73" applyFont="1" applyFill="1" applyBorder="1" applyAlignment="1">
      <alignment horizontal="left" vertical="center" wrapText="1"/>
      <protection/>
    </xf>
    <xf numFmtId="0" fontId="15" fillId="4" borderId="10" xfId="73" applyFont="1" applyFill="1" applyBorder="1" applyAlignment="1">
      <alignment horizontal="center" vertical="center" wrapText="1"/>
      <protection/>
    </xf>
    <xf numFmtId="172" fontId="7" fillId="4" borderId="10" xfId="51" applyNumberFormat="1" applyFont="1" applyFill="1" applyBorder="1" applyAlignment="1">
      <alignment vertical="center"/>
    </xf>
    <xf numFmtId="0" fontId="7" fillId="4" borderId="10" xfId="79" applyFont="1" applyFill="1" applyBorder="1" applyAlignment="1">
      <alignment vertical="center" wrapText="1"/>
    </xf>
    <xf numFmtId="0" fontId="15" fillId="4" borderId="10" xfId="79" applyFont="1" applyFill="1" applyBorder="1" applyAlignment="1">
      <alignment horizontal="center" vertical="center" wrapText="1"/>
    </xf>
    <xf numFmtId="4" fontId="7" fillId="4" borderId="10" xfId="0" applyNumberFormat="1" applyFont="1" applyFill="1" applyBorder="1" applyAlignment="1">
      <alignment horizontal="right" vertical="center" wrapText="1"/>
    </xf>
    <xf numFmtId="4" fontId="7" fillId="4" borderId="10" xfId="42" applyNumberFormat="1" applyFont="1" applyFill="1" applyBorder="1" applyAlignment="1">
      <alignment vertical="center" wrapText="1"/>
    </xf>
    <xf numFmtId="4" fontId="7" fillId="4" borderId="10" xfId="0" applyNumberFormat="1" applyFont="1" applyFill="1" applyBorder="1" applyAlignment="1">
      <alignment vertical="center" wrapText="1"/>
    </xf>
    <xf numFmtId="0" fontId="15" fillId="4" borderId="10" xfId="79" applyFont="1" applyFill="1" applyBorder="1" applyAlignment="1">
      <alignment horizontal="center" vertical="center"/>
    </xf>
    <xf numFmtId="0" fontId="14" fillId="4" borderId="10" xfId="79" applyFont="1" applyFill="1" applyBorder="1" applyAlignment="1">
      <alignment horizontal="center" vertical="center"/>
    </xf>
    <xf numFmtId="178" fontId="7" fillId="4" borderId="10" xfId="42" applyNumberFormat="1" applyFont="1" applyFill="1" applyBorder="1" applyAlignment="1">
      <alignment vertical="center" wrapText="1"/>
    </xf>
    <xf numFmtId="178" fontId="7" fillId="4" borderId="10" xfId="0" applyNumberFormat="1" applyFont="1" applyFill="1" applyBorder="1" applyAlignment="1">
      <alignment vertical="center" wrapText="1"/>
    </xf>
    <xf numFmtId="3" fontId="7" fillId="4" borderId="10" xfId="78" applyNumberFormat="1" applyFont="1" applyFill="1" applyBorder="1" applyAlignment="1">
      <alignment horizontal="right" vertical="center" wrapText="1"/>
    </xf>
    <xf numFmtId="2" fontId="7" fillId="4" borderId="10" xfId="79" applyNumberFormat="1" applyFont="1" applyFill="1" applyBorder="1" applyAlignment="1">
      <alignment vertical="center" wrapText="1"/>
    </xf>
    <xf numFmtId="0" fontId="7" fillId="4" borderId="10" xfId="79" applyFont="1" applyFill="1" applyBorder="1" applyAlignment="1" quotePrefix="1">
      <alignment vertical="center" wrapText="1"/>
    </xf>
    <xf numFmtId="0" fontId="14" fillId="4" borderId="10" xfId="0" applyFont="1" applyFill="1" applyBorder="1" applyAlignment="1">
      <alignment horizontal="center" vertical="center"/>
    </xf>
    <xf numFmtId="3" fontId="5" fillId="4" borderId="10" xfId="51" applyNumberFormat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0" xfId="79" applyFont="1" applyFill="1" applyBorder="1" applyAlignment="1">
      <alignment horizontal="center" vertical="center"/>
    </xf>
    <xf numFmtId="0" fontId="7" fillId="4" borderId="10" xfId="79" applyFont="1" applyFill="1" applyBorder="1" applyAlignment="1">
      <alignment horizontal="center" vertical="center"/>
    </xf>
    <xf numFmtId="0" fontId="7" fillId="4" borderId="10" xfId="0" applyNumberFormat="1" applyFont="1" applyFill="1" applyBorder="1" applyAlignment="1" quotePrefix="1">
      <alignment horizontal="right" vertical="center" wrapText="1"/>
    </xf>
    <xf numFmtId="3" fontId="7" fillId="4" borderId="10" xfId="52" applyNumberFormat="1" applyFont="1" applyFill="1" applyBorder="1" applyAlignment="1">
      <alignment horizontal="right" vertical="center" wrapText="1"/>
    </xf>
    <xf numFmtId="0" fontId="7" fillId="4" borderId="10" xfId="51" applyNumberFormat="1" applyFont="1" applyFill="1" applyBorder="1" applyAlignment="1">
      <alignment horizontal="right" vertical="center" wrapText="1"/>
    </xf>
    <xf numFmtId="0" fontId="8" fillId="4" borderId="10" xfId="79" applyFont="1" applyFill="1" applyBorder="1" applyAlignment="1">
      <alignment horizontal="center" vertical="center"/>
    </xf>
    <xf numFmtId="0" fontId="8" fillId="4" borderId="10" xfId="79" applyFont="1" applyFill="1" applyBorder="1" applyAlignment="1">
      <alignment horizontal="center" vertical="center" wrapText="1"/>
    </xf>
    <xf numFmtId="0" fontId="8" fillId="4" borderId="10" xfId="79" applyFont="1" applyFill="1" applyBorder="1" applyAlignment="1">
      <alignment vertical="center" wrapText="1"/>
    </xf>
    <xf numFmtId="3" fontId="8" fillId="4" borderId="10" xfId="0" applyNumberFormat="1" applyFont="1" applyFill="1" applyBorder="1" applyAlignment="1" quotePrefix="1">
      <alignment horizontal="right" vertical="center" wrapText="1"/>
    </xf>
    <xf numFmtId="3" fontId="8" fillId="4" borderId="10" xfId="42" applyNumberFormat="1" applyFont="1" applyFill="1" applyBorder="1" applyAlignment="1">
      <alignment vertical="center" wrapText="1"/>
    </xf>
    <xf numFmtId="3" fontId="8" fillId="4" borderId="10" xfId="51" applyNumberFormat="1" applyFont="1" applyFill="1" applyBorder="1" applyAlignment="1" quotePrefix="1">
      <alignment horizontal="right" vertical="center" wrapText="1"/>
    </xf>
    <xf numFmtId="172" fontId="8" fillId="4" borderId="10" xfId="51" applyNumberFormat="1" applyFont="1" applyFill="1" applyBorder="1" applyAlignment="1">
      <alignment vertical="center"/>
    </xf>
    <xf numFmtId="3" fontId="7" fillId="4" borderId="10" xfId="51" applyNumberFormat="1" applyFont="1" applyFill="1" applyBorder="1" applyAlignment="1" quotePrefix="1">
      <alignment horizontal="right" vertical="center" wrapText="1"/>
    </xf>
    <xf numFmtId="178" fontId="8" fillId="4" borderId="10" xfId="51" applyNumberFormat="1" applyFont="1" applyFill="1" applyBorder="1" applyAlignment="1" quotePrefix="1">
      <alignment horizontal="right" vertical="center" wrapText="1"/>
    </xf>
    <xf numFmtId="3" fontId="5" fillId="4" borderId="10" xfId="52" applyNumberFormat="1" applyFont="1" applyFill="1" applyBorder="1" applyAlignment="1">
      <alignment horizontal="right" vertical="center" wrapText="1"/>
    </xf>
    <xf numFmtId="4" fontId="7" fillId="4" borderId="10" xfId="79" applyNumberFormat="1" applyFont="1" applyFill="1" applyBorder="1" applyAlignment="1">
      <alignment horizontal="center" vertical="center"/>
    </xf>
    <xf numFmtId="4" fontId="10" fillId="4" borderId="10" xfId="79" applyNumberFormat="1" applyFont="1" applyFill="1" applyBorder="1" applyAlignment="1">
      <alignment horizontal="center" vertical="center"/>
    </xf>
    <xf numFmtId="0" fontId="0" fillId="4" borderId="10" xfId="0" applyNumberFormat="1" applyFont="1" applyFill="1" applyBorder="1" applyAlignment="1" applyProtection="1">
      <alignment horizontal="left" vertical="center" wrapText="1"/>
      <protection/>
    </xf>
    <xf numFmtId="0" fontId="11" fillId="4" borderId="10" xfId="0" applyNumberFormat="1" applyFont="1" applyFill="1" applyBorder="1" applyAlignment="1" applyProtection="1">
      <alignment horizontal="left" vertical="center" wrapText="1"/>
      <protection/>
    </xf>
    <xf numFmtId="0" fontId="11" fillId="4" borderId="10" xfId="0" applyNumberFormat="1" applyFont="1" applyFill="1" applyBorder="1" applyAlignment="1" applyProtection="1">
      <alignment horizontal="center" vertical="center" wrapText="1"/>
      <protection/>
    </xf>
    <xf numFmtId="4" fontId="8" fillId="4" borderId="10" xfId="0" applyNumberFormat="1" applyFont="1" applyFill="1" applyBorder="1" applyAlignment="1">
      <alignment vertical="center" wrapText="1"/>
    </xf>
    <xf numFmtId="4" fontId="8" fillId="4" borderId="10" xfId="42" applyNumberFormat="1" applyFont="1" applyFill="1" applyBorder="1" applyAlignment="1">
      <alignment vertical="center" wrapText="1"/>
    </xf>
    <xf numFmtId="0" fontId="11" fillId="4" borderId="10" xfId="0" applyNumberFormat="1" applyFont="1" applyFill="1" applyBorder="1" applyAlignment="1" applyProtection="1">
      <alignment horizontal="justify" vertical="center" wrapText="1"/>
      <protection/>
    </xf>
    <xf numFmtId="178" fontId="8" fillId="4" borderId="10" xfId="0" applyNumberFormat="1" applyFont="1" applyFill="1" applyBorder="1" applyAlignment="1">
      <alignment vertical="center" wrapText="1"/>
    </xf>
    <xf numFmtId="0" fontId="8" fillId="4" borderId="10" xfId="0" applyFont="1" applyFill="1" applyBorder="1" applyAlignment="1" quotePrefix="1">
      <alignment vertical="center" wrapText="1"/>
    </xf>
    <xf numFmtId="0" fontId="8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 quotePrefix="1">
      <alignment vertical="center" wrapText="1"/>
    </xf>
    <xf numFmtId="0" fontId="7" fillId="4" borderId="10" xfId="0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 quotePrefix="1">
      <alignment horizontal="left" vertical="center" wrapText="1"/>
    </xf>
    <xf numFmtId="4" fontId="7" fillId="4" borderId="10" xfId="51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center"/>
    </xf>
    <xf numFmtId="0" fontId="2" fillId="4" borderId="10" xfId="0" applyNumberFormat="1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quotePrefix="1">
      <alignment horizontal="left" vertical="center" wrapText="1"/>
    </xf>
    <xf numFmtId="0" fontId="0" fillId="4" borderId="0" xfId="0" applyFont="1" applyFill="1" applyAlignment="1">
      <alignment horizontal="center"/>
    </xf>
    <xf numFmtId="177" fontId="29" fillId="4" borderId="0" xfId="42" applyNumberFormat="1" applyFont="1" applyFill="1" applyAlignment="1">
      <alignment/>
    </xf>
    <xf numFmtId="0" fontId="29" fillId="4" borderId="0" xfId="0" applyFont="1" applyFill="1" applyAlignment="1">
      <alignment/>
    </xf>
    <xf numFmtId="177" fontId="27" fillId="4" borderId="0" xfId="42" applyNumberFormat="1" applyFont="1" applyFill="1" applyAlignment="1">
      <alignment/>
    </xf>
    <xf numFmtId="0" fontId="27" fillId="4" borderId="0" xfId="0" applyFont="1" applyFill="1" applyAlignment="1">
      <alignment/>
    </xf>
    <xf numFmtId="3" fontId="27" fillId="4" borderId="0" xfId="0" applyNumberFormat="1" applyFont="1" applyFill="1" applyAlignment="1">
      <alignment/>
    </xf>
    <xf numFmtId="177" fontId="28" fillId="4" borderId="0" xfId="42" applyNumberFormat="1" applyFont="1" applyFill="1" applyAlignment="1">
      <alignment/>
    </xf>
    <xf numFmtId="0" fontId="28" fillId="4" borderId="0" xfId="0" applyFont="1" applyFill="1" applyAlignment="1">
      <alignment/>
    </xf>
    <xf numFmtId="43" fontId="29" fillId="4" borderId="0" xfId="42" applyNumberFormat="1" applyFont="1" applyFill="1" applyAlignment="1">
      <alignment/>
    </xf>
    <xf numFmtId="43" fontId="29" fillId="4" borderId="0" xfId="0" applyNumberFormat="1" applyFont="1" applyFill="1" applyAlignment="1">
      <alignment/>
    </xf>
    <xf numFmtId="43" fontId="5" fillId="4" borderId="0" xfId="42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41" fontId="5" fillId="4" borderId="0" xfId="51" applyNumberFormat="1" applyFont="1" applyFill="1" applyBorder="1" applyAlignment="1">
      <alignment horizontal="right" vertical="center" wrapText="1"/>
    </xf>
    <xf numFmtId="3" fontId="5" fillId="4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178" fontId="7" fillId="4" borderId="0" xfId="0" applyNumberFormat="1" applyFont="1" applyFill="1" applyBorder="1" applyAlignment="1">
      <alignment vertical="center"/>
    </xf>
    <xf numFmtId="172" fontId="5" fillId="4" borderId="0" xfId="51" applyNumberFormat="1" applyFont="1" applyFill="1" applyBorder="1" applyAlignment="1">
      <alignment vertical="center"/>
    </xf>
    <xf numFmtId="49" fontId="7" fillId="4" borderId="0" xfId="52" applyNumberFormat="1" applyFont="1" applyFill="1" applyBorder="1" applyAlignment="1">
      <alignment horizontal="right" vertical="center" wrapText="1"/>
    </xf>
    <xf numFmtId="3" fontId="11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horizontal="right" vertical="center"/>
    </xf>
    <xf numFmtId="4" fontId="7" fillId="4" borderId="0" xfId="0" applyNumberFormat="1" applyFont="1" applyFill="1" applyBorder="1" applyAlignment="1">
      <alignment horizontal="right" vertical="center"/>
    </xf>
    <xf numFmtId="4" fontId="8" fillId="4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4" fontId="0" fillId="4" borderId="0" xfId="0" applyNumberFormat="1" applyFont="1" applyFill="1" applyBorder="1" applyAlignment="1">
      <alignment vertical="center"/>
    </xf>
    <xf numFmtId="172" fontId="2" fillId="4" borderId="0" xfId="0" applyNumberFormat="1" applyFont="1" applyFill="1" applyAlignment="1">
      <alignment horizontal="right" vertical="center"/>
    </xf>
    <xf numFmtId="0" fontId="5" fillId="4" borderId="10" xfId="73" applyFont="1" applyFill="1" applyBorder="1" applyAlignment="1">
      <alignment horizontal="center" vertical="center" wrapText="1"/>
      <protection/>
    </xf>
    <xf numFmtId="0" fontId="7" fillId="4" borderId="10" xfId="0" applyFont="1" applyFill="1" applyBorder="1" applyAlignment="1">
      <alignment horizontal="right" vertical="center" wrapText="1"/>
    </xf>
    <xf numFmtId="180" fontId="7" fillId="4" borderId="10" xfId="51" applyNumberFormat="1" applyFont="1" applyFill="1" applyBorder="1" applyAlignment="1">
      <alignment horizontal="right" vertical="center" wrapText="1"/>
    </xf>
    <xf numFmtId="0" fontId="7" fillId="4" borderId="10" xfId="73" applyFont="1" applyFill="1" applyBorder="1" applyAlignment="1">
      <alignment horizontal="center" vertical="center" wrapText="1"/>
      <protection/>
    </xf>
    <xf numFmtId="41" fontId="7" fillId="4" borderId="10" xfId="51" applyNumberFormat="1" applyFont="1" applyFill="1" applyBorder="1" applyAlignment="1">
      <alignment horizontal="right" vertical="center" wrapText="1"/>
    </xf>
    <xf numFmtId="0" fontId="28" fillId="4" borderId="0" xfId="0" applyFont="1" applyFill="1" applyAlignment="1">
      <alignment/>
    </xf>
    <xf numFmtId="0" fontId="7" fillId="4" borderId="10" xfId="73" applyFont="1" applyFill="1" applyBorder="1" applyAlignment="1" quotePrefix="1">
      <alignment horizontal="left" vertical="center" wrapText="1"/>
      <protection/>
    </xf>
    <xf numFmtId="179" fontId="7" fillId="4" borderId="10" xfId="51" applyNumberFormat="1" applyFont="1" applyFill="1" applyBorder="1" applyAlignment="1">
      <alignment horizontal="right" vertical="center" wrapText="1"/>
    </xf>
    <xf numFmtId="182" fontId="7" fillId="4" borderId="10" xfId="51" applyNumberFormat="1" applyFont="1" applyFill="1" applyBorder="1" applyAlignment="1">
      <alignment horizontal="right" vertical="center" wrapText="1"/>
    </xf>
    <xf numFmtId="180" fontId="7" fillId="4" borderId="10" xfId="0" applyNumberFormat="1" applyFont="1" applyFill="1" applyBorder="1" applyAlignment="1">
      <alignment horizontal="right" vertical="center" wrapText="1"/>
    </xf>
    <xf numFmtId="180" fontId="31" fillId="4" borderId="10" xfId="0" applyNumberFormat="1" applyFont="1" applyFill="1" applyBorder="1" applyAlignment="1">
      <alignment horizontal="right" vertical="center" wrapText="1"/>
    </xf>
    <xf numFmtId="3" fontId="7" fillId="4" borderId="10" xfId="74" applyNumberFormat="1" applyFont="1" applyFill="1" applyBorder="1" applyAlignment="1">
      <alignment horizontal="right" vertical="center" wrapText="1"/>
      <protection/>
    </xf>
    <xf numFmtId="3" fontId="32" fillId="4" borderId="10" xfId="75" applyNumberFormat="1" applyFont="1" applyFill="1" applyBorder="1" applyAlignment="1">
      <alignment horizontal="right" vertical="center"/>
      <protection/>
    </xf>
    <xf numFmtId="4" fontId="31" fillId="4" borderId="10" xfId="74" applyNumberFormat="1" applyFont="1" applyFill="1" applyBorder="1" applyAlignment="1" quotePrefix="1">
      <alignment horizontal="right" vertical="center" wrapText="1"/>
      <protection/>
    </xf>
    <xf numFmtId="41" fontId="31" fillId="4" borderId="10" xfId="51" applyNumberFormat="1" applyFont="1" applyFill="1" applyBorder="1" applyAlignment="1">
      <alignment horizontal="right" vertical="center" wrapText="1"/>
    </xf>
    <xf numFmtId="4" fontId="7" fillId="4" borderId="10" xfId="74" applyNumberFormat="1" applyFont="1" applyFill="1" applyBorder="1" applyAlignment="1">
      <alignment horizontal="right" vertical="center" wrapText="1"/>
      <protection/>
    </xf>
    <xf numFmtId="4" fontId="7" fillId="4" borderId="10" xfId="74" applyNumberFormat="1" applyFont="1" applyFill="1" applyBorder="1" applyAlignment="1" quotePrefix="1">
      <alignment horizontal="right" vertical="center" wrapText="1"/>
      <protection/>
    </xf>
    <xf numFmtId="3" fontId="7" fillId="4" borderId="10" xfId="75" applyNumberFormat="1" applyFont="1" applyFill="1" applyBorder="1" applyAlignment="1">
      <alignment horizontal="right" vertical="center" wrapText="1"/>
      <protection/>
    </xf>
    <xf numFmtId="178" fontId="7" fillId="4" borderId="10" xfId="75" applyNumberFormat="1" applyFont="1" applyFill="1" applyBorder="1" applyAlignment="1">
      <alignment horizontal="right" vertical="center" wrapText="1"/>
      <protection/>
    </xf>
    <xf numFmtId="4" fontId="7" fillId="4" borderId="10" xfId="75" applyNumberFormat="1" applyFont="1" applyFill="1" applyBorder="1" applyAlignment="1">
      <alignment horizontal="right" vertical="center"/>
      <protection/>
    </xf>
    <xf numFmtId="0" fontId="7" fillId="4" borderId="10" xfId="70" applyFont="1" applyFill="1" applyBorder="1" applyAlignment="1">
      <alignment horizontal="left" vertical="center" wrapText="1"/>
      <protection/>
    </xf>
    <xf numFmtId="0" fontId="7" fillId="4" borderId="10" xfId="70" applyFont="1" applyFill="1" applyBorder="1" applyAlignment="1">
      <alignment horizontal="center" vertical="center" wrapText="1"/>
      <protection/>
    </xf>
    <xf numFmtId="179" fontId="7" fillId="4" borderId="10" xfId="0" applyNumberFormat="1" applyFont="1" applyFill="1" applyBorder="1" applyAlignment="1">
      <alignment horizontal="right" vertical="center" wrapText="1"/>
    </xf>
    <xf numFmtId="43" fontId="7" fillId="4" borderId="10" xfId="51" applyNumberFormat="1" applyFont="1" applyFill="1" applyBorder="1" applyAlignment="1">
      <alignment horizontal="right" vertical="center" wrapText="1"/>
    </xf>
    <xf numFmtId="0" fontId="8" fillId="4" borderId="10" xfId="73" applyFont="1" applyFill="1" applyBorder="1" applyAlignment="1">
      <alignment horizontal="left" vertical="center" wrapText="1"/>
      <protection/>
    </xf>
    <xf numFmtId="0" fontId="8" fillId="4" borderId="10" xfId="73" applyFont="1" applyFill="1" applyBorder="1" applyAlignment="1">
      <alignment horizontal="center" vertical="center" wrapText="1"/>
      <protection/>
    </xf>
    <xf numFmtId="179" fontId="8" fillId="4" borderId="10" xfId="0" applyNumberFormat="1" applyFont="1" applyFill="1" applyBorder="1" applyAlignment="1">
      <alignment horizontal="right" vertical="center" wrapText="1"/>
    </xf>
    <xf numFmtId="41" fontId="8" fillId="4" borderId="10" xfId="51" applyNumberFormat="1" applyFont="1" applyFill="1" applyBorder="1" applyAlignment="1">
      <alignment horizontal="right" vertical="center" wrapText="1"/>
    </xf>
    <xf numFmtId="0" fontId="0" fillId="4" borderId="0" xfId="0" applyFont="1" applyFill="1" applyAlignment="1">
      <alignment horizontal="center"/>
    </xf>
    <xf numFmtId="172" fontId="7" fillId="4" borderId="10" xfId="51" applyNumberFormat="1" applyFont="1" applyFill="1" applyBorder="1" applyAlignment="1">
      <alignment vertical="center" wrapText="1"/>
    </xf>
    <xf numFmtId="175" fontId="7" fillId="4" borderId="10" xfId="42" applyNumberFormat="1" applyFont="1" applyFill="1" applyBorder="1" applyAlignment="1">
      <alignment horizontal="right" vertical="center" wrapText="1"/>
    </xf>
    <xf numFmtId="0" fontId="29" fillId="4" borderId="0" xfId="0" applyFont="1" applyFill="1" applyAlignment="1">
      <alignment/>
    </xf>
    <xf numFmtId="0" fontId="29" fillId="18" borderId="0" xfId="0" applyFont="1" applyFill="1" applyAlignment="1">
      <alignment/>
    </xf>
    <xf numFmtId="0" fontId="27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center" vertical="center" wrapText="1"/>
    </xf>
    <xf numFmtId="0" fontId="28" fillId="4" borderId="0" xfId="0" applyFont="1" applyFill="1" applyAlignment="1">
      <alignment horizontal="center" vertical="center"/>
    </xf>
    <xf numFmtId="0" fontId="29" fillId="4" borderId="0" xfId="0" applyFont="1" applyFill="1" applyAlignment="1">
      <alignment vertical="center"/>
    </xf>
    <xf numFmtId="43" fontId="38" fillId="4" borderId="0" xfId="42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/>
    </xf>
    <xf numFmtId="176" fontId="27" fillId="4" borderId="0" xfId="0" applyNumberFormat="1" applyFont="1" applyFill="1" applyBorder="1" applyAlignment="1">
      <alignment vertical="center"/>
    </xf>
    <xf numFmtId="176" fontId="29" fillId="4" borderId="0" xfId="0" applyNumberFormat="1" applyFont="1" applyFill="1" applyAlignment="1">
      <alignment/>
    </xf>
    <xf numFmtId="176" fontId="29" fillId="4" borderId="0" xfId="55" applyNumberFormat="1" applyFont="1" applyFill="1" applyBorder="1" applyAlignment="1">
      <alignment horizontal="right" vertical="center" wrapText="1"/>
    </xf>
    <xf numFmtId="176" fontId="30" fillId="4" borderId="0" xfId="0" applyNumberFormat="1" applyFont="1" applyFill="1" applyBorder="1" applyAlignment="1">
      <alignment vertical="center"/>
    </xf>
    <xf numFmtId="177" fontId="29" fillId="4" borderId="0" xfId="51" applyNumberFormat="1" applyFont="1" applyFill="1" applyBorder="1" applyAlignment="1">
      <alignment horizontal="right" vertical="center" wrapText="1"/>
    </xf>
    <xf numFmtId="184" fontId="29" fillId="4" borderId="0" xfId="0" applyNumberFormat="1" applyFont="1" applyFill="1" applyAlignment="1">
      <alignment/>
    </xf>
    <xf numFmtId="183" fontId="29" fillId="4" borderId="0" xfId="0" applyNumberFormat="1" applyFont="1" applyFill="1" applyAlignment="1">
      <alignment/>
    </xf>
    <xf numFmtId="177" fontId="29" fillId="4" borderId="0" xfId="0" applyNumberFormat="1" applyFont="1" applyFill="1" applyBorder="1" applyAlignment="1">
      <alignment vertical="center"/>
    </xf>
    <xf numFmtId="181" fontId="29" fillId="4" borderId="0" xfId="0" applyNumberFormat="1" applyFont="1" applyFill="1" applyBorder="1" applyAlignment="1">
      <alignment/>
    </xf>
    <xf numFmtId="177" fontId="29" fillId="4" borderId="0" xfId="0" applyNumberFormat="1" applyFont="1" applyFill="1" applyAlignment="1">
      <alignment/>
    </xf>
    <xf numFmtId="176" fontId="29" fillId="4" borderId="0" xfId="0" applyNumberFormat="1" applyFont="1" applyFill="1" applyBorder="1" applyAlignment="1">
      <alignment vertical="center"/>
    </xf>
    <xf numFmtId="186" fontId="29" fillId="4" borderId="0" xfId="0" applyNumberFormat="1" applyFont="1" applyFill="1" applyBorder="1" applyAlignment="1">
      <alignment vertical="center"/>
    </xf>
    <xf numFmtId="0" fontId="29" fillId="4" borderId="0" xfId="71" applyFont="1" applyFill="1" applyBorder="1" applyAlignment="1">
      <alignment horizontal="right" vertical="center" wrapText="1"/>
      <protection/>
    </xf>
    <xf numFmtId="177" fontId="29" fillId="4" borderId="0" xfId="55" applyNumberFormat="1" applyFont="1" applyFill="1" applyBorder="1" applyAlignment="1">
      <alignment horizontal="right" vertical="center" wrapText="1"/>
    </xf>
    <xf numFmtId="2" fontId="29" fillId="4" borderId="0" xfId="0" applyNumberFormat="1" applyFont="1" applyFill="1" applyAlignment="1" quotePrefix="1">
      <alignment horizontal="right"/>
    </xf>
    <xf numFmtId="43" fontId="29" fillId="4" borderId="0" xfId="0" applyNumberFormat="1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/>
    </xf>
    <xf numFmtId="178" fontId="29" fillId="4" borderId="0" xfId="0" applyNumberFormat="1" applyFont="1" applyFill="1" applyBorder="1" applyAlignment="1">
      <alignment horizontal="right" vertical="center" wrapText="1"/>
    </xf>
    <xf numFmtId="178" fontId="29" fillId="4" borderId="0" xfId="0" applyNumberFormat="1" applyFont="1" applyFill="1" applyAlignment="1">
      <alignment/>
    </xf>
    <xf numFmtId="3" fontId="29" fillId="4" borderId="0" xfId="0" applyNumberFormat="1" applyFont="1" applyFill="1" applyAlignment="1">
      <alignment/>
    </xf>
    <xf numFmtId="3" fontId="29" fillId="4" borderId="0" xfId="0" applyNumberFormat="1" applyFont="1" applyFill="1" applyBorder="1" applyAlignment="1">
      <alignment vertical="center"/>
    </xf>
    <xf numFmtId="3" fontId="29" fillId="4" borderId="0" xfId="0" applyNumberFormat="1" applyFont="1" applyFill="1" applyBorder="1" applyAlignment="1">
      <alignment horizontal="right" vertical="center" wrapText="1"/>
    </xf>
    <xf numFmtId="178" fontId="29" fillId="4" borderId="0" xfId="0" applyNumberFormat="1" applyFont="1" applyFill="1" applyBorder="1" applyAlignment="1">
      <alignment vertical="center"/>
    </xf>
    <xf numFmtId="0" fontId="29" fillId="18" borderId="0" xfId="0" applyFont="1" applyFill="1" applyAlignment="1">
      <alignment/>
    </xf>
    <xf numFmtId="3" fontId="5" fillId="4" borderId="10" xfId="42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172" fontId="12" fillId="4" borderId="10" xfId="51" applyNumberFormat="1" applyFont="1" applyFill="1" applyBorder="1" applyAlignment="1">
      <alignment horizontal="center" vertical="center" wrapText="1"/>
    </xf>
    <xf numFmtId="180" fontId="31" fillId="4" borderId="10" xfId="51" applyNumberFormat="1" applyFont="1" applyFill="1" applyBorder="1" applyAlignment="1">
      <alignment horizontal="right" vertical="center" wrapText="1"/>
    </xf>
    <xf numFmtId="0" fontId="0" fillId="4" borderId="10" xfId="0" applyNumberFormat="1" applyFont="1" applyFill="1" applyBorder="1" applyAlignment="1" applyProtection="1">
      <alignment horizontal="justify" vertical="center" wrapText="1"/>
      <protection/>
    </xf>
    <xf numFmtId="177" fontId="29" fillId="4" borderId="0" xfId="42" applyNumberFormat="1" applyFont="1" applyFill="1" applyAlignment="1">
      <alignment/>
    </xf>
    <xf numFmtId="176" fontId="29" fillId="4" borderId="0" xfId="55" applyNumberFormat="1" applyFont="1" applyFill="1" applyBorder="1" applyAlignment="1">
      <alignment horizontal="right" vertical="center" wrapText="1"/>
    </xf>
    <xf numFmtId="176" fontId="30" fillId="4" borderId="0" xfId="0" applyNumberFormat="1" applyFont="1" applyFill="1" applyBorder="1" applyAlignment="1">
      <alignment vertical="center"/>
    </xf>
    <xf numFmtId="3" fontId="29" fillId="4" borderId="0" xfId="0" applyNumberFormat="1" applyFont="1" applyFill="1" applyBorder="1" applyAlignment="1">
      <alignment horizontal="right" vertical="center" wrapText="1"/>
    </xf>
    <xf numFmtId="3" fontId="29" fillId="4" borderId="0" xfId="0" applyNumberFormat="1" applyFont="1" applyFill="1" applyBorder="1" applyAlignment="1" quotePrefix="1">
      <alignment horizontal="right" vertical="center" wrapText="1"/>
    </xf>
    <xf numFmtId="177" fontId="28" fillId="4" borderId="0" xfId="42" applyNumberFormat="1" applyFont="1" applyFill="1" applyAlignment="1">
      <alignment/>
    </xf>
    <xf numFmtId="181" fontId="7" fillId="4" borderId="10" xfId="0" applyNumberFormat="1" applyFont="1" applyFill="1" applyBorder="1" applyAlignment="1">
      <alignment/>
    </xf>
    <xf numFmtId="0" fontId="5" fillId="4" borderId="10" xfId="0" applyFont="1" applyFill="1" applyBorder="1" applyAlignment="1">
      <alignment/>
    </xf>
    <xf numFmtId="2" fontId="7" fillId="4" borderId="10" xfId="0" applyNumberFormat="1" applyFont="1" applyFill="1" applyBorder="1" applyAlignment="1">
      <alignment/>
    </xf>
    <xf numFmtId="176" fontId="7" fillId="4" borderId="10" xfId="42" applyNumberFormat="1" applyFont="1" applyFill="1" applyBorder="1" applyAlignment="1">
      <alignment/>
    </xf>
    <xf numFmtId="43" fontId="7" fillId="4" borderId="10" xfId="42" applyNumberFormat="1" applyFont="1" applyFill="1" applyBorder="1" applyAlignment="1">
      <alignment/>
    </xf>
    <xf numFmtId="177" fontId="7" fillId="4" borderId="10" xfId="42" applyNumberFormat="1" applyFont="1" applyFill="1" applyBorder="1" applyAlignment="1">
      <alignment/>
    </xf>
    <xf numFmtId="176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center" vertical="center" wrapText="1"/>
    </xf>
    <xf numFmtId="41" fontId="7" fillId="4" borderId="10" xfId="51" applyNumberFormat="1" applyFont="1" applyFill="1" applyBorder="1" applyAlignment="1" quotePrefix="1">
      <alignment horizontal="right" vertical="center" wrapText="1"/>
    </xf>
    <xf numFmtId="179" fontId="7" fillId="4" borderId="10" xfId="51" applyNumberFormat="1" applyFont="1" applyFill="1" applyBorder="1" applyAlignment="1" quotePrefix="1">
      <alignment horizontal="right" vertical="center" wrapText="1"/>
    </xf>
    <xf numFmtId="180" fontId="7" fillId="4" borderId="10" xfId="51" applyNumberFormat="1" applyFont="1" applyFill="1" applyBorder="1" applyAlignment="1" quotePrefix="1">
      <alignment horizontal="right" vertical="center" wrapText="1"/>
    </xf>
    <xf numFmtId="1" fontId="31" fillId="4" borderId="10" xfId="42" applyNumberFormat="1" applyFont="1" applyFill="1" applyBorder="1" applyAlignment="1">
      <alignment horizontal="right" vertical="center" wrapText="1"/>
    </xf>
    <xf numFmtId="0" fontId="21" fillId="4" borderId="0" xfId="0" applyFont="1" applyFill="1" applyAlignment="1">
      <alignment/>
    </xf>
    <xf numFmtId="0" fontId="21" fillId="0" borderId="0" xfId="0" applyFont="1" applyAlignment="1">
      <alignment/>
    </xf>
    <xf numFmtId="178" fontId="8" fillId="4" borderId="10" xfId="0" applyNumberFormat="1" applyFont="1" applyFill="1" applyBorder="1" applyAlignment="1">
      <alignment horizontal="right" vertical="center" wrapText="1"/>
    </xf>
    <xf numFmtId="176" fontId="28" fillId="4" borderId="0" xfId="0" applyNumberFormat="1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/>
    </xf>
    <xf numFmtId="178" fontId="7" fillId="4" borderId="10" xfId="0" applyNumberFormat="1" applyFont="1" applyFill="1" applyBorder="1" applyAlignment="1">
      <alignment/>
    </xf>
    <xf numFmtId="177" fontId="29" fillId="18" borderId="0" xfId="42" applyNumberFormat="1" applyFont="1" applyFill="1" applyAlignment="1">
      <alignment/>
    </xf>
    <xf numFmtId="0" fontId="29" fillId="0" borderId="0" xfId="0" applyFont="1" applyAlignment="1">
      <alignment/>
    </xf>
    <xf numFmtId="0" fontId="29" fillId="18" borderId="0" xfId="0" applyFont="1" applyFill="1" applyAlignment="1">
      <alignment/>
    </xf>
    <xf numFmtId="0" fontId="29" fillId="4" borderId="0" xfId="0" applyFont="1" applyFill="1" applyAlignment="1">
      <alignment/>
    </xf>
    <xf numFmtId="177" fontId="29" fillId="4" borderId="0" xfId="42" applyNumberFormat="1" applyFont="1" applyFill="1" applyAlignment="1">
      <alignment/>
    </xf>
    <xf numFmtId="177" fontId="27" fillId="4" borderId="0" xfId="42" applyNumberFormat="1" applyFont="1" applyFill="1" applyAlignment="1">
      <alignment/>
    </xf>
    <xf numFmtId="0" fontId="27" fillId="4" borderId="0" xfId="0" applyFont="1" applyFill="1" applyAlignment="1">
      <alignment/>
    </xf>
    <xf numFmtId="43" fontId="29" fillId="4" borderId="0" xfId="42" applyNumberFormat="1" applyFont="1" applyFill="1" applyAlignment="1">
      <alignment/>
    </xf>
    <xf numFmtId="0" fontId="28" fillId="4" borderId="0" xfId="0" applyFont="1" applyFill="1" applyAlignment="1">
      <alignment/>
    </xf>
    <xf numFmtId="43" fontId="29" fillId="4" borderId="0" xfId="0" applyNumberFormat="1" applyFont="1" applyFill="1" applyAlignment="1">
      <alignment/>
    </xf>
    <xf numFmtId="43" fontId="27" fillId="4" borderId="0" xfId="0" applyNumberFormat="1" applyFont="1" applyFill="1" applyAlignment="1">
      <alignment/>
    </xf>
    <xf numFmtId="172" fontId="27" fillId="4" borderId="0" xfId="0" applyNumberFormat="1" applyFont="1" applyFill="1" applyAlignment="1">
      <alignment/>
    </xf>
    <xf numFmtId="183" fontId="29" fillId="4" borderId="0" xfId="0" applyNumberFormat="1" applyFont="1" applyFill="1" applyAlignment="1">
      <alignment/>
    </xf>
    <xf numFmtId="187" fontId="27" fillId="4" borderId="0" xfId="0" applyNumberFormat="1" applyFont="1" applyFill="1" applyAlignment="1">
      <alignment/>
    </xf>
    <xf numFmtId="173" fontId="27" fillId="4" borderId="0" xfId="0" applyNumberFormat="1" applyFont="1" applyFill="1" applyAlignment="1">
      <alignment/>
    </xf>
    <xf numFmtId="0" fontId="29" fillId="4" borderId="0" xfId="0" applyFont="1" applyFill="1" applyBorder="1" applyAlignment="1">
      <alignment/>
    </xf>
    <xf numFmtId="182" fontId="29" fillId="4" borderId="0" xfId="0" applyNumberFormat="1" applyFont="1" applyFill="1" applyAlignment="1">
      <alignment/>
    </xf>
    <xf numFmtId="176" fontId="29" fillId="4" borderId="0" xfId="42" applyNumberFormat="1" applyFont="1" applyFill="1" applyAlignment="1">
      <alignment/>
    </xf>
    <xf numFmtId="176" fontId="29" fillId="4" borderId="0" xfId="0" applyNumberFormat="1" applyFont="1" applyFill="1" applyAlignment="1">
      <alignment/>
    </xf>
    <xf numFmtId="43" fontId="27" fillId="4" borderId="0" xfId="42" applyNumberFormat="1" applyFont="1" applyFill="1" applyAlignment="1">
      <alignment/>
    </xf>
    <xf numFmtId="178" fontId="31" fillId="4" borderId="10" xfId="0" applyNumberFormat="1" applyFont="1" applyFill="1" applyBorder="1" applyAlignment="1">
      <alignment horizontal="right" vertical="center" wrapText="1"/>
    </xf>
    <xf numFmtId="3" fontId="5" fillId="0" borderId="10" xfId="52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179" fontId="7" fillId="4" borderId="10" xfId="0" applyNumberFormat="1" applyFont="1" applyFill="1" applyBorder="1" applyAlignment="1">
      <alignment horizontal="right" vertical="center"/>
    </xf>
    <xf numFmtId="173" fontId="35" fillId="4" borderId="10" xfId="42" applyNumberFormat="1" applyFont="1" applyFill="1" applyBorder="1" applyAlignment="1">
      <alignment horizontal="center" vertical="center" wrapText="1"/>
    </xf>
    <xf numFmtId="173" fontId="34" fillId="4" borderId="10" xfId="42" applyNumberFormat="1" applyFont="1" applyFill="1" applyBorder="1" applyAlignment="1">
      <alignment horizontal="center" vertical="center" wrapText="1"/>
    </xf>
    <xf numFmtId="43" fontId="34" fillId="4" borderId="10" xfId="42" applyNumberFormat="1" applyFont="1" applyFill="1" applyBorder="1" applyAlignment="1">
      <alignment horizontal="right" vertical="center" wrapText="1"/>
    </xf>
    <xf numFmtId="173" fontId="34" fillId="4" borderId="10" xfId="42" applyNumberFormat="1" applyFont="1" applyFill="1" applyBorder="1" applyAlignment="1">
      <alignment horizontal="right" vertical="center" wrapText="1"/>
    </xf>
    <xf numFmtId="43" fontId="34" fillId="4" borderId="10" xfId="42" applyFont="1" applyFill="1" applyBorder="1" applyAlignment="1">
      <alignment horizontal="right" vertical="center" wrapText="1"/>
    </xf>
    <xf numFmtId="172" fontId="35" fillId="4" borderId="10" xfId="42" applyNumberFormat="1" applyFont="1" applyFill="1" applyBorder="1" applyAlignment="1">
      <alignment horizontal="center" vertical="center" wrapText="1"/>
    </xf>
    <xf numFmtId="172" fontId="34" fillId="4" borderId="10" xfId="45" applyNumberFormat="1" applyFont="1" applyFill="1" applyBorder="1" applyAlignment="1">
      <alignment horizontal="right" vertical="center" wrapText="1"/>
    </xf>
    <xf numFmtId="172" fontId="35" fillId="4" borderId="10" xfId="45" applyNumberFormat="1" applyFont="1" applyFill="1" applyBorder="1" applyAlignment="1">
      <alignment horizontal="right" vertical="center" wrapText="1"/>
    </xf>
    <xf numFmtId="4" fontId="34" fillId="4" borderId="10" xfId="0" applyNumberFormat="1" applyFont="1" applyFill="1" applyBorder="1" applyAlignment="1">
      <alignment/>
    </xf>
    <xf numFmtId="173" fontId="34" fillId="4" borderId="10" xfId="45" applyFont="1" applyFill="1" applyBorder="1" applyAlignment="1">
      <alignment horizontal="right" vertical="center" wrapText="1"/>
    </xf>
    <xf numFmtId="173" fontId="34" fillId="4" borderId="10" xfId="51" applyFont="1" applyFill="1" applyBorder="1" applyAlignment="1">
      <alignment horizontal="right" vertical="center" wrapText="1"/>
    </xf>
    <xf numFmtId="173" fontId="35" fillId="4" borderId="10" xfId="51" applyFont="1" applyFill="1" applyBorder="1" applyAlignment="1">
      <alignment horizontal="right" vertical="center" wrapText="1"/>
    </xf>
    <xf numFmtId="174" fontId="34" fillId="4" borderId="10" xfId="51" applyNumberFormat="1" applyFont="1" applyFill="1" applyBorder="1" applyAlignment="1">
      <alignment horizontal="right" vertical="center" wrapText="1"/>
    </xf>
    <xf numFmtId="172" fontId="35" fillId="4" borderId="10" xfId="51" applyNumberFormat="1" applyFont="1" applyFill="1" applyBorder="1" applyAlignment="1">
      <alignment horizontal="right" vertical="center" wrapText="1"/>
    </xf>
    <xf numFmtId="174" fontId="35" fillId="4" borderId="10" xfId="42" applyNumberFormat="1" applyFont="1" applyFill="1" applyBorder="1" applyAlignment="1">
      <alignment horizontal="center" vertical="center" wrapText="1"/>
    </xf>
    <xf numFmtId="172" fontId="34" fillId="4" borderId="10" xfId="42" applyNumberFormat="1" applyFont="1" applyFill="1" applyBorder="1" applyAlignment="1">
      <alignment horizontal="center" vertical="center" wrapText="1"/>
    </xf>
    <xf numFmtId="174" fontId="34" fillId="4" borderId="10" xfId="42" applyNumberFormat="1" applyFont="1" applyFill="1" applyBorder="1" applyAlignment="1">
      <alignment horizontal="center" vertical="center" wrapText="1"/>
    </xf>
    <xf numFmtId="173" fontId="34" fillId="4" borderId="10" xfId="0" applyNumberFormat="1" applyFont="1" applyFill="1" applyBorder="1" applyAlignment="1">
      <alignment horizontal="center" vertical="center" wrapText="1"/>
    </xf>
    <xf numFmtId="176" fontId="1" fillId="4" borderId="12" xfId="47" applyNumberFormat="1" applyFont="1" applyFill="1" applyBorder="1" applyAlignment="1">
      <alignment horizontal="right" vertical="top" wrapText="1"/>
    </xf>
    <xf numFmtId="3" fontId="1" fillId="4" borderId="12" xfId="47" applyNumberFormat="1" applyFont="1" applyFill="1" applyBorder="1" applyAlignment="1">
      <alignment horizontal="right" vertical="top" wrapText="1"/>
    </xf>
    <xf numFmtId="3" fontId="1" fillId="4" borderId="13" xfId="47" applyNumberFormat="1" applyFont="1" applyFill="1" applyBorder="1" applyAlignment="1">
      <alignment horizontal="right" vertical="top" wrapText="1"/>
    </xf>
    <xf numFmtId="172" fontId="34" fillId="4" borderId="10" xfId="0" applyNumberFormat="1" applyFont="1" applyFill="1" applyBorder="1" applyAlignment="1">
      <alignment horizontal="center" vertical="center"/>
    </xf>
    <xf numFmtId="172" fontId="34" fillId="4" borderId="10" xfId="51" applyNumberFormat="1" applyFont="1" applyFill="1" applyBorder="1" applyAlignment="1">
      <alignment horizontal="right" vertical="center" wrapText="1"/>
    </xf>
    <xf numFmtId="173" fontId="35" fillId="4" borderId="10" xfId="51" applyNumberFormat="1" applyFont="1" applyFill="1" applyBorder="1" applyAlignment="1">
      <alignment horizontal="right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vertical="center" wrapText="1"/>
    </xf>
    <xf numFmtId="173" fontId="5" fillId="4" borderId="10" xfId="42" applyNumberFormat="1" applyFont="1" applyFill="1" applyBorder="1" applyAlignment="1">
      <alignment horizontal="center" vertical="center" wrapText="1"/>
    </xf>
    <xf numFmtId="173" fontId="35" fillId="4" borderId="10" xfId="42" applyNumberFormat="1" applyFont="1" applyFill="1" applyBorder="1" applyAlignment="1">
      <alignment horizontal="center" vertical="center" wrapText="1"/>
    </xf>
    <xf numFmtId="43" fontId="5" fillId="4" borderId="10" xfId="42" applyNumberFormat="1" applyFont="1" applyFill="1" applyBorder="1" applyAlignment="1">
      <alignment horizontal="center" vertical="center" wrapText="1"/>
    </xf>
    <xf numFmtId="174" fontId="5" fillId="4" borderId="10" xfId="42" applyNumberFormat="1" applyFont="1" applyFill="1" applyBorder="1" applyAlignment="1">
      <alignment horizontal="center" vertical="center" wrapText="1"/>
    </xf>
    <xf numFmtId="177" fontId="27" fillId="4" borderId="0" xfId="42" applyNumberFormat="1" applyFont="1" applyFill="1" applyAlignment="1">
      <alignment/>
    </xf>
    <xf numFmtId="0" fontId="27" fillId="4" borderId="0" xfId="0" applyFont="1" applyFill="1" applyAlignment="1">
      <alignment/>
    </xf>
    <xf numFmtId="173" fontId="27" fillId="4" borderId="0" xfId="0" applyNumberFormat="1" applyFont="1" applyFill="1" applyAlignment="1">
      <alignment/>
    </xf>
    <xf numFmtId="43" fontId="27" fillId="4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3" fontId="6" fillId="4" borderId="10" xfId="0" applyNumberFormat="1" applyFont="1" applyFill="1" applyBorder="1" applyAlignment="1">
      <alignment horizontal="center" vertical="center" wrapText="1"/>
    </xf>
    <xf numFmtId="3" fontId="6" fillId="4" borderId="10" xfId="0" applyNumberFormat="1" applyFont="1" applyFill="1" applyBorder="1" applyAlignment="1">
      <alignment vertical="center" wrapText="1"/>
    </xf>
    <xf numFmtId="173" fontId="6" fillId="4" borderId="10" xfId="42" applyNumberFormat="1" applyFont="1" applyFill="1" applyBorder="1" applyAlignment="1">
      <alignment horizontal="center" vertical="center" wrapText="1"/>
    </xf>
    <xf numFmtId="173" fontId="36" fillId="4" borderId="10" xfId="42" applyNumberFormat="1" applyFont="1" applyFill="1" applyBorder="1" applyAlignment="1">
      <alignment horizontal="center" vertical="center" wrapText="1"/>
    </xf>
    <xf numFmtId="43" fontId="6" fillId="4" borderId="10" xfId="42" applyNumberFormat="1" applyFont="1" applyFill="1" applyBorder="1" applyAlignment="1">
      <alignment horizontal="center" vertical="center" wrapText="1"/>
    </xf>
    <xf numFmtId="174" fontId="6" fillId="4" borderId="10" xfId="42" applyNumberFormat="1" applyFont="1" applyFill="1" applyBorder="1" applyAlignment="1">
      <alignment horizontal="center" vertical="center" wrapText="1"/>
    </xf>
    <xf numFmtId="177" fontId="30" fillId="4" borderId="0" xfId="42" applyNumberFormat="1" applyFont="1" applyFill="1" applyAlignment="1">
      <alignment/>
    </xf>
    <xf numFmtId="0" fontId="30" fillId="4" borderId="0" xfId="0" applyFont="1" applyFill="1" applyAlignment="1">
      <alignment/>
    </xf>
    <xf numFmtId="43" fontId="30" fillId="4" borderId="0" xfId="42" applyNumberFormat="1" applyFont="1" applyFill="1" applyAlignment="1">
      <alignment/>
    </xf>
    <xf numFmtId="173" fontId="30" fillId="4" borderId="0" xfId="0" applyNumberFormat="1" applyFont="1" applyFill="1" applyAlignment="1">
      <alignment/>
    </xf>
    <xf numFmtId="43" fontId="30" fillId="4" borderId="0" xfId="0" applyNumberFormat="1" applyFont="1" applyFill="1" applyAlignment="1">
      <alignment/>
    </xf>
    <xf numFmtId="0" fontId="19" fillId="4" borderId="0" xfId="0" applyFont="1" applyFill="1" applyAlignment="1">
      <alignment/>
    </xf>
    <xf numFmtId="176" fontId="5" fillId="4" borderId="10" xfId="42" applyNumberFormat="1" applyFont="1" applyFill="1" applyBorder="1" applyAlignment="1">
      <alignment horizontal="center" vertical="center" wrapText="1"/>
    </xf>
    <xf numFmtId="172" fontId="35" fillId="4" borderId="10" xfId="42" applyNumberFormat="1" applyFont="1" applyFill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vertical="center" wrapText="1"/>
    </xf>
    <xf numFmtId="173" fontId="7" fillId="4" borderId="10" xfId="42" applyNumberFormat="1" applyFont="1" applyFill="1" applyBorder="1" applyAlignment="1">
      <alignment horizontal="center" vertical="center" wrapText="1"/>
    </xf>
    <xf numFmtId="173" fontId="34" fillId="4" borderId="10" xfId="42" applyNumberFormat="1" applyFont="1" applyFill="1" applyBorder="1" applyAlignment="1">
      <alignment horizontal="center" vertical="center" wrapText="1"/>
    </xf>
    <xf numFmtId="177" fontId="7" fillId="4" borderId="10" xfId="42" applyNumberFormat="1" applyFont="1" applyFill="1" applyBorder="1" applyAlignment="1">
      <alignment/>
    </xf>
    <xf numFmtId="43" fontId="7" fillId="4" borderId="10" xfId="42" applyNumberFormat="1" applyFont="1" applyFill="1" applyBorder="1" applyAlignment="1">
      <alignment horizontal="center" vertical="center" wrapText="1"/>
    </xf>
    <xf numFmtId="174" fontId="7" fillId="4" borderId="10" xfId="42" applyNumberFormat="1" applyFont="1" applyFill="1" applyBorder="1" applyAlignment="1">
      <alignment horizontal="center" vertical="center" wrapText="1"/>
    </xf>
    <xf numFmtId="177" fontId="29" fillId="4" borderId="0" xfId="42" applyNumberFormat="1" applyFont="1" applyFill="1" applyAlignment="1">
      <alignment/>
    </xf>
    <xf numFmtId="0" fontId="29" fillId="4" borderId="0" xfId="0" applyFont="1" applyFill="1" applyAlignment="1">
      <alignment/>
    </xf>
    <xf numFmtId="0" fontId="0" fillId="4" borderId="0" xfId="0" applyFont="1" applyFill="1" applyAlignment="1">
      <alignment/>
    </xf>
    <xf numFmtId="177" fontId="7" fillId="4" borderId="10" xfId="42" applyNumberFormat="1" applyFont="1" applyFill="1" applyBorder="1" applyAlignment="1">
      <alignment horizontal="left"/>
    </xf>
    <xf numFmtId="43" fontId="29" fillId="4" borderId="0" xfId="42" applyNumberFormat="1" applyFont="1" applyFill="1" applyAlignment="1">
      <alignment/>
    </xf>
    <xf numFmtId="176" fontId="7" fillId="4" borderId="10" xfId="42" applyNumberFormat="1" applyFont="1" applyFill="1" applyBorder="1" applyAlignment="1">
      <alignment horizontal="center" vertical="center" wrapText="1"/>
    </xf>
    <xf numFmtId="172" fontId="34" fillId="4" borderId="10" xfId="42" applyNumberFormat="1" applyFont="1" applyFill="1" applyBorder="1" applyAlignment="1">
      <alignment horizontal="center" vertical="center" wrapText="1"/>
    </xf>
    <xf numFmtId="43" fontId="7" fillId="4" borderId="10" xfId="44" applyNumberFormat="1" applyFont="1" applyFill="1" applyBorder="1" applyAlignment="1">
      <alignment horizontal="right" vertical="center" wrapText="1"/>
    </xf>
    <xf numFmtId="177" fontId="7" fillId="4" borderId="10" xfId="42" applyNumberFormat="1" applyFont="1" applyFill="1" applyBorder="1" applyAlignment="1">
      <alignment horizontal="center" vertical="center" wrapText="1"/>
    </xf>
    <xf numFmtId="43" fontId="29" fillId="4" borderId="0" xfId="0" applyNumberFormat="1" applyFont="1" applyFill="1" applyAlignment="1">
      <alignment/>
    </xf>
    <xf numFmtId="3" fontId="8" fillId="4" borderId="10" xfId="0" applyNumberFormat="1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vertical="center" wrapText="1"/>
    </xf>
    <xf numFmtId="43" fontId="8" fillId="4" borderId="10" xfId="44" applyNumberFormat="1" applyFont="1" applyFill="1" applyBorder="1" applyAlignment="1">
      <alignment horizontal="right" vertical="center" wrapText="1"/>
    </xf>
    <xf numFmtId="43" fontId="33" fillId="4" borderId="10" xfId="44" applyNumberFormat="1" applyFont="1" applyFill="1" applyBorder="1" applyAlignment="1">
      <alignment horizontal="right" vertical="center" wrapText="1"/>
    </xf>
    <xf numFmtId="177" fontId="8" fillId="4" borderId="10" xfId="42" applyNumberFormat="1" applyFont="1" applyFill="1" applyBorder="1" applyAlignment="1">
      <alignment/>
    </xf>
    <xf numFmtId="177" fontId="8" fillId="4" borderId="10" xfId="42" applyNumberFormat="1" applyFont="1" applyFill="1" applyBorder="1" applyAlignment="1">
      <alignment horizontal="center" vertical="center" wrapText="1"/>
    </xf>
    <xf numFmtId="173" fontId="33" fillId="4" borderId="10" xfId="0" applyNumberFormat="1" applyFont="1" applyFill="1" applyBorder="1" applyAlignment="1">
      <alignment horizontal="center" vertical="center" wrapText="1"/>
    </xf>
    <xf numFmtId="177" fontId="28" fillId="4" borderId="0" xfId="42" applyNumberFormat="1" applyFont="1" applyFill="1" applyAlignment="1">
      <alignment/>
    </xf>
    <xf numFmtId="0" fontId="28" fillId="4" borderId="0" xfId="0" applyFont="1" applyFill="1" applyAlignment="1">
      <alignment/>
    </xf>
    <xf numFmtId="43" fontId="28" fillId="4" borderId="0" xfId="0" applyNumberFormat="1" applyFont="1" applyFill="1" applyAlignment="1">
      <alignment/>
    </xf>
    <xf numFmtId="0" fontId="11" fillId="4" borderId="0" xfId="0" applyFont="1" applyFill="1" applyAlignment="1">
      <alignment/>
    </xf>
    <xf numFmtId="177" fontId="6" fillId="4" borderId="10" xfId="42" applyNumberFormat="1" applyFont="1" applyFill="1" applyBorder="1" applyAlignment="1">
      <alignment horizontal="center" vertical="center" wrapText="1"/>
    </xf>
    <xf numFmtId="173" fontId="8" fillId="4" borderId="10" xfId="42" applyNumberFormat="1" applyFont="1" applyFill="1" applyBorder="1" applyAlignment="1">
      <alignment horizontal="center" vertical="center" wrapText="1"/>
    </xf>
    <xf numFmtId="174" fontId="8" fillId="4" borderId="10" xfId="42" applyNumberFormat="1" applyFont="1" applyFill="1" applyBorder="1" applyAlignment="1">
      <alignment horizontal="center" vertical="center" wrapText="1"/>
    </xf>
    <xf numFmtId="177" fontId="5" fillId="4" borderId="10" xfId="42" applyNumberFormat="1" applyFont="1" applyFill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left" vertical="center" wrapText="1" indent="10"/>
    </xf>
    <xf numFmtId="186" fontId="34" fillId="4" borderId="10" xfId="44" applyNumberFormat="1" applyFont="1" applyFill="1" applyBorder="1" applyAlignment="1">
      <alignment horizontal="right" vertical="center" wrapText="1"/>
    </xf>
    <xf numFmtId="175" fontId="34" fillId="4" borderId="10" xfId="0" applyNumberFormat="1" applyFont="1" applyFill="1" applyBorder="1" applyAlignment="1">
      <alignment horizontal="center" vertical="center" wrapText="1"/>
    </xf>
    <xf numFmtId="43" fontId="7" fillId="4" borderId="10" xfId="42" applyNumberFormat="1" applyFont="1" applyFill="1" applyBorder="1" applyAlignment="1">
      <alignment/>
    </xf>
    <xf numFmtId="174" fontId="34" fillId="4" borderId="10" xfId="42" applyNumberFormat="1" applyFont="1" applyFill="1" applyBorder="1" applyAlignment="1">
      <alignment horizontal="center" vertical="center" wrapText="1"/>
    </xf>
    <xf numFmtId="43" fontId="8" fillId="4" borderId="10" xfId="42" applyFont="1" applyFill="1" applyBorder="1" applyAlignment="1">
      <alignment horizontal="right" vertical="center" wrapText="1"/>
    </xf>
    <xf numFmtId="43" fontId="33" fillId="4" borderId="10" xfId="42" applyFont="1" applyFill="1" applyBorder="1" applyAlignment="1">
      <alignment horizontal="right" vertical="center" wrapText="1"/>
    </xf>
    <xf numFmtId="176" fontId="8" fillId="4" borderId="10" xfId="42" applyNumberFormat="1" applyFont="1" applyFill="1" applyBorder="1" applyAlignment="1">
      <alignment/>
    </xf>
    <xf numFmtId="43" fontId="8" fillId="4" borderId="10" xfId="42" applyNumberFormat="1" applyFont="1" applyFill="1" applyBorder="1" applyAlignment="1">
      <alignment horizontal="center" vertical="center" wrapText="1"/>
    </xf>
    <xf numFmtId="173" fontId="33" fillId="4" borderId="10" xfId="42" applyNumberFormat="1" applyFont="1" applyFill="1" applyBorder="1" applyAlignment="1">
      <alignment horizontal="center" vertical="center" wrapText="1"/>
    </xf>
    <xf numFmtId="43" fontId="28" fillId="4" borderId="0" xfId="42" applyNumberFormat="1" applyFont="1" applyFill="1" applyAlignment="1">
      <alignment/>
    </xf>
    <xf numFmtId="43" fontId="7" fillId="4" borderId="10" xfId="42" applyNumberFormat="1" applyFont="1" applyFill="1" applyBorder="1" applyAlignment="1">
      <alignment horizontal="right" vertical="center" wrapText="1"/>
    </xf>
    <xf numFmtId="176" fontId="8" fillId="4" borderId="10" xfId="42" applyNumberFormat="1" applyFont="1" applyFill="1" applyBorder="1" applyAlignment="1">
      <alignment horizontal="right" vertical="center" wrapText="1"/>
    </xf>
    <xf numFmtId="43" fontId="8" fillId="4" borderId="10" xfId="42" applyNumberFormat="1" applyFont="1" applyFill="1" applyBorder="1" applyAlignment="1">
      <alignment horizontal="right" vertical="center" wrapText="1"/>
    </xf>
    <xf numFmtId="43" fontId="33" fillId="4" borderId="10" xfId="42" applyNumberFormat="1" applyFont="1" applyFill="1" applyBorder="1" applyAlignment="1">
      <alignment horizontal="right" vertical="center" wrapText="1"/>
    </xf>
    <xf numFmtId="43" fontId="5" fillId="4" borderId="10" xfId="42" applyFont="1" applyFill="1" applyBorder="1" applyAlignment="1">
      <alignment horizontal="right" vertical="center" wrapText="1"/>
    </xf>
    <xf numFmtId="43" fontId="35" fillId="4" borderId="10" xfId="42" applyFont="1" applyFill="1" applyBorder="1" applyAlignment="1">
      <alignment horizontal="right" vertical="center" wrapText="1"/>
    </xf>
    <xf numFmtId="0" fontId="5" fillId="4" borderId="10" xfId="0" applyFont="1" applyFill="1" applyBorder="1" applyAlignment="1">
      <alignment/>
    </xf>
    <xf numFmtId="43" fontId="35" fillId="4" borderId="10" xfId="42" applyFont="1" applyFill="1" applyBorder="1" applyAlignment="1">
      <alignment horizontal="center" vertical="center" wrapText="1"/>
    </xf>
    <xf numFmtId="43" fontId="6" fillId="4" borderId="10" xfId="42" applyFont="1" applyFill="1" applyBorder="1" applyAlignment="1">
      <alignment horizontal="right" vertical="center" wrapText="1"/>
    </xf>
    <xf numFmtId="43" fontId="36" fillId="4" borderId="10" xfId="42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/>
    </xf>
    <xf numFmtId="3" fontId="6" fillId="4" borderId="10" xfId="0" applyNumberFormat="1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/>
    </xf>
    <xf numFmtId="43" fontId="33" fillId="4" borderId="10" xfId="42" applyFont="1" applyFill="1" applyBorder="1" applyAlignment="1">
      <alignment horizontal="right" vertical="center" wrapText="1"/>
    </xf>
    <xf numFmtId="43" fontId="33" fillId="4" borderId="10" xfId="42" applyNumberFormat="1" applyFont="1" applyFill="1" applyBorder="1" applyAlignment="1">
      <alignment horizontal="center" vertical="center" wrapText="1"/>
    </xf>
    <xf numFmtId="43" fontId="35" fillId="4" borderId="10" xfId="42" applyFont="1" applyFill="1" applyBorder="1" applyAlignment="1">
      <alignment horizontal="right" vertical="center" wrapText="1"/>
    </xf>
    <xf numFmtId="43" fontId="35" fillId="4" borderId="10" xfId="42" applyNumberFormat="1" applyFont="1" applyFill="1" applyBorder="1" applyAlignment="1">
      <alignment horizontal="center" vertical="center" wrapText="1"/>
    </xf>
    <xf numFmtId="173" fontId="35" fillId="4" borderId="10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vertical="center" wrapText="1"/>
    </xf>
    <xf numFmtId="172" fontId="5" fillId="4" borderId="10" xfId="42" applyNumberFormat="1" applyFont="1" applyFill="1" applyBorder="1" applyAlignment="1">
      <alignment horizontal="center" vertical="center" wrapText="1"/>
    </xf>
    <xf numFmtId="172" fontId="27" fillId="4" borderId="0" xfId="0" applyNumberFormat="1" applyFont="1" applyFill="1" applyAlignment="1">
      <alignment/>
    </xf>
    <xf numFmtId="172" fontId="5" fillId="4" borderId="10" xfId="42" applyNumberFormat="1" applyFont="1" applyFill="1" applyBorder="1" applyAlignment="1">
      <alignment horizontal="right" vertical="center" wrapText="1"/>
    </xf>
    <xf numFmtId="172" fontId="35" fillId="4" borderId="10" xfId="42" applyNumberFormat="1" applyFont="1" applyFill="1" applyBorder="1" applyAlignment="1">
      <alignment horizontal="right" vertical="center" wrapText="1"/>
    </xf>
    <xf numFmtId="171" fontId="5" fillId="4" borderId="10" xfId="44" applyNumberFormat="1" applyFont="1" applyFill="1" applyBorder="1" applyAlignment="1">
      <alignment horizontal="right" vertical="center" wrapText="1"/>
    </xf>
    <xf numFmtId="171" fontId="5" fillId="4" borderId="10" xfId="45" applyNumberFormat="1" applyFont="1" applyFill="1" applyBorder="1" applyAlignment="1">
      <alignment horizontal="right" vertical="center" wrapText="1"/>
    </xf>
    <xf numFmtId="171" fontId="35" fillId="4" borderId="10" xfId="45" applyNumberFormat="1" applyFont="1" applyFill="1" applyBorder="1" applyAlignment="1">
      <alignment horizontal="right" vertical="center" wrapText="1"/>
    </xf>
    <xf numFmtId="43" fontId="5" fillId="4" borderId="10" xfId="42" applyFont="1" applyFill="1" applyBorder="1" applyAlignment="1">
      <alignment horizontal="center" vertical="center" wrapText="1"/>
    </xf>
    <xf numFmtId="173" fontId="5" fillId="4" borderId="10" xfId="45" applyFont="1" applyFill="1" applyBorder="1" applyAlignment="1">
      <alignment horizontal="center" vertical="center" wrapText="1"/>
    </xf>
    <xf numFmtId="173" fontId="35" fillId="4" borderId="10" xfId="45" applyFont="1" applyFill="1" applyBorder="1" applyAlignment="1">
      <alignment horizontal="center" vertical="center" wrapText="1"/>
    </xf>
    <xf numFmtId="178" fontId="5" fillId="4" borderId="10" xfId="0" applyNumberFormat="1" applyFont="1" applyFill="1" applyBorder="1" applyAlignment="1">
      <alignment/>
    </xf>
    <xf numFmtId="173" fontId="5" fillId="4" borderId="10" xfId="51" applyFont="1" applyFill="1" applyBorder="1" applyAlignment="1">
      <alignment horizontal="right" vertical="center" wrapText="1"/>
    </xf>
    <xf numFmtId="173" fontId="35" fillId="4" borderId="10" xfId="51" applyFont="1" applyFill="1" applyBorder="1" applyAlignment="1">
      <alignment horizontal="right" vertical="center" wrapText="1"/>
    </xf>
    <xf numFmtId="173" fontId="35" fillId="4" borderId="10" xfId="51" applyFont="1" applyFill="1" applyBorder="1" applyAlignment="1">
      <alignment horizontal="right" vertical="center" wrapText="1"/>
    </xf>
    <xf numFmtId="177" fontId="35" fillId="4" borderId="10" xfId="42" applyNumberFormat="1" applyFont="1" applyFill="1" applyBorder="1" applyAlignment="1">
      <alignment horizontal="center" vertical="center" wrapText="1"/>
    </xf>
    <xf numFmtId="173" fontId="35" fillId="4" borderId="10" xfId="5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174" fontId="5" fillId="4" borderId="10" xfId="0" applyNumberFormat="1" applyFont="1" applyFill="1" applyBorder="1" applyAlignment="1">
      <alignment horizontal="right" vertical="center" wrapText="1"/>
    </xf>
    <xf numFmtId="174" fontId="35" fillId="4" borderId="10" xfId="0" applyNumberFormat="1" applyFont="1" applyFill="1" applyBorder="1" applyAlignment="1">
      <alignment horizontal="right" vertical="center" wrapText="1"/>
    </xf>
    <xf numFmtId="174" fontId="35" fillId="4" borderId="10" xfId="0" applyNumberFormat="1" applyFont="1" applyFill="1" applyBorder="1" applyAlignment="1">
      <alignment horizontal="right" vertical="center" wrapText="1"/>
    </xf>
    <xf numFmtId="172" fontId="35" fillId="4" borderId="10" xfId="0" applyNumberFormat="1" applyFont="1" applyFill="1" applyBorder="1" applyAlignment="1">
      <alignment horizontal="right" vertical="center" wrapText="1"/>
    </xf>
    <xf numFmtId="173" fontId="5" fillId="4" borderId="10" xfId="51" applyNumberFormat="1" applyFont="1" applyFill="1" applyBorder="1" applyAlignment="1">
      <alignment horizontal="right" vertical="center" wrapText="1"/>
    </xf>
    <xf numFmtId="4" fontId="5" fillId="4" borderId="10" xfId="0" applyNumberFormat="1" applyFont="1" applyFill="1" applyBorder="1" applyAlignment="1">
      <alignment/>
    </xf>
    <xf numFmtId="43" fontId="35" fillId="4" borderId="10" xfId="42" applyFont="1" applyFill="1" applyBorder="1" applyAlignment="1">
      <alignment horizontal="center" vertical="center" wrapText="1"/>
    </xf>
    <xf numFmtId="173" fontId="35" fillId="4" borderId="10" xfId="51" applyNumberFormat="1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/>
    </xf>
    <xf numFmtId="173" fontId="8" fillId="4" borderId="10" xfId="51" applyNumberFormat="1" applyFont="1" applyFill="1" applyBorder="1" applyAlignment="1">
      <alignment horizontal="right" vertical="center" wrapText="1"/>
    </xf>
    <xf numFmtId="173" fontId="33" fillId="4" borderId="10" xfId="51" applyFont="1" applyFill="1" applyBorder="1" applyAlignment="1">
      <alignment horizontal="right" vertical="center" wrapText="1"/>
    </xf>
    <xf numFmtId="173" fontId="33" fillId="4" borderId="10" xfId="51" applyFont="1" applyFill="1" applyBorder="1" applyAlignment="1">
      <alignment horizontal="right" vertical="center" wrapText="1"/>
    </xf>
    <xf numFmtId="177" fontId="33" fillId="4" borderId="10" xfId="42" applyNumberFormat="1" applyFont="1" applyFill="1" applyBorder="1" applyAlignment="1">
      <alignment horizontal="center" vertical="center" wrapText="1"/>
    </xf>
    <xf numFmtId="173" fontId="33" fillId="4" borderId="10" xfId="51" applyNumberFormat="1" applyFont="1" applyFill="1" applyBorder="1" applyAlignment="1">
      <alignment horizontal="right" vertical="center" wrapText="1"/>
    </xf>
    <xf numFmtId="173" fontId="8" fillId="4" borderId="10" xfId="51" applyFont="1" applyFill="1" applyBorder="1" applyAlignment="1">
      <alignment horizontal="right" vertical="center" wrapText="1"/>
    </xf>
    <xf numFmtId="4" fontId="33" fillId="4" borderId="10" xfId="51" applyNumberFormat="1" applyFont="1" applyFill="1" applyBorder="1" applyAlignment="1">
      <alignment horizontal="right" vertical="center" wrapText="1"/>
    </xf>
    <xf numFmtId="4" fontId="5" fillId="4" borderId="10" xfId="0" applyNumberFormat="1" applyFont="1" applyFill="1" applyBorder="1" applyAlignment="1">
      <alignment vertical="center" wrapText="1"/>
    </xf>
    <xf numFmtId="4" fontId="35" fillId="4" borderId="10" xfId="0" applyNumberFormat="1" applyFont="1" applyFill="1" applyBorder="1" applyAlignment="1">
      <alignment vertical="center" wrapText="1"/>
    </xf>
    <xf numFmtId="4" fontId="35" fillId="4" borderId="10" xfId="0" applyNumberFormat="1" applyFont="1" applyFill="1" applyBorder="1" applyAlignment="1">
      <alignment vertical="center" wrapText="1"/>
    </xf>
    <xf numFmtId="4" fontId="35" fillId="4" borderId="10" xfId="0" applyNumberFormat="1" applyFont="1" applyFill="1" applyBorder="1" applyAlignment="1">
      <alignment horizontal="right" vertical="center" wrapText="1"/>
    </xf>
    <xf numFmtId="172" fontId="8" fillId="4" borderId="10" xfId="51" applyNumberFormat="1" applyFont="1" applyFill="1" applyBorder="1" applyAlignment="1">
      <alignment horizontal="right" vertical="center" wrapText="1"/>
    </xf>
    <xf numFmtId="172" fontId="33" fillId="4" borderId="10" xfId="51" applyNumberFormat="1" applyFont="1" applyFill="1" applyBorder="1" applyAlignment="1">
      <alignment horizontal="right" vertical="center" wrapText="1"/>
    </xf>
    <xf numFmtId="172" fontId="33" fillId="4" borderId="10" xfId="51" applyNumberFormat="1" applyFont="1" applyFill="1" applyBorder="1" applyAlignment="1">
      <alignment horizontal="right" vertical="center" wrapText="1"/>
    </xf>
    <xf numFmtId="174" fontId="33" fillId="4" borderId="10" xfId="51" applyNumberFormat="1" applyFont="1" applyFill="1" applyBorder="1" applyAlignment="1">
      <alignment horizontal="right" vertical="center" wrapText="1"/>
    </xf>
    <xf numFmtId="43" fontId="33" fillId="4" borderId="10" xfId="42" applyFont="1" applyFill="1" applyBorder="1" applyAlignment="1">
      <alignment horizontal="center" vertical="center" wrapText="1"/>
    </xf>
    <xf numFmtId="177" fontId="27" fillId="4" borderId="0" xfId="42" applyNumberFormat="1" applyFont="1" applyFill="1" applyAlignment="1">
      <alignment/>
    </xf>
    <xf numFmtId="0" fontId="27" fillId="4" borderId="0" xfId="0" applyFont="1" applyFill="1" applyAlignment="1">
      <alignment/>
    </xf>
    <xf numFmtId="177" fontId="27" fillId="4" borderId="0" xfId="42" applyNumberFormat="1" applyFont="1" applyFill="1" applyAlignment="1">
      <alignment/>
    </xf>
    <xf numFmtId="0" fontId="27" fillId="4" borderId="0" xfId="0" applyFont="1" applyFill="1" applyAlignment="1">
      <alignment/>
    </xf>
    <xf numFmtId="0" fontId="6" fillId="4" borderId="10" xfId="71" applyFont="1" applyFill="1" applyBorder="1" applyAlignment="1">
      <alignment horizontal="center" vertical="center" wrapText="1"/>
      <protection/>
    </xf>
    <xf numFmtId="49" fontId="6" fillId="4" borderId="10" xfId="71" applyNumberFormat="1" applyFont="1" applyFill="1" applyBorder="1" applyAlignment="1">
      <alignment vertical="center" wrapText="1"/>
      <protection/>
    </xf>
    <xf numFmtId="0" fontId="23" fillId="4" borderId="10" xfId="71" applyFont="1" applyFill="1" applyBorder="1" applyAlignment="1">
      <alignment horizontal="center" vertical="center" wrapText="1"/>
      <protection/>
    </xf>
    <xf numFmtId="176" fontId="6" fillId="4" borderId="10" xfId="42" applyNumberFormat="1" applyFont="1" applyFill="1" applyBorder="1" applyAlignment="1">
      <alignment horizontal="right" vertical="center" wrapText="1"/>
    </xf>
    <xf numFmtId="176" fontId="6" fillId="4" borderId="10" xfId="46" applyNumberFormat="1" applyFont="1" applyFill="1" applyBorder="1" applyAlignment="1">
      <alignment horizontal="right" wrapText="1"/>
    </xf>
    <xf numFmtId="43" fontId="5" fillId="4" borderId="10" xfId="42" applyNumberFormat="1" applyFont="1" applyFill="1" applyBorder="1" applyAlignment="1">
      <alignment horizontal="right" vertical="center" wrapText="1"/>
    </xf>
    <xf numFmtId="176" fontId="30" fillId="4" borderId="0" xfId="42" applyNumberFormat="1" applyFont="1" applyFill="1" applyBorder="1" applyAlignment="1">
      <alignment horizontal="right" vertical="center" wrapText="1"/>
    </xf>
    <xf numFmtId="0" fontId="30" fillId="4" borderId="0" xfId="0" applyFont="1" applyFill="1" applyAlignment="1">
      <alignment/>
    </xf>
    <xf numFmtId="0" fontId="5" fillId="4" borderId="10" xfId="71" applyFont="1" applyFill="1" applyBorder="1" applyAlignment="1">
      <alignment horizontal="center" vertical="center" wrapText="1"/>
      <protection/>
    </xf>
    <xf numFmtId="49" fontId="5" fillId="4" borderId="10" xfId="71" applyNumberFormat="1" applyFont="1" applyFill="1" applyBorder="1" applyAlignment="1">
      <alignment vertical="center" wrapText="1"/>
      <protection/>
    </xf>
    <xf numFmtId="0" fontId="12" fillId="4" borderId="10" xfId="71" applyFont="1" applyFill="1" applyBorder="1" applyAlignment="1">
      <alignment horizontal="center" vertical="center" wrapText="1"/>
      <protection/>
    </xf>
    <xf numFmtId="176" fontId="5" fillId="4" borderId="10" xfId="42" applyNumberFormat="1" applyFont="1" applyFill="1" applyBorder="1" applyAlignment="1">
      <alignment horizontal="right" vertical="center" wrapText="1"/>
    </xf>
    <xf numFmtId="0" fontId="27" fillId="4" borderId="0" xfId="0" applyFont="1" applyFill="1" applyAlignment="1">
      <alignment/>
    </xf>
    <xf numFmtId="43" fontId="6" fillId="4" borderId="10" xfId="42" applyNumberFormat="1" applyFont="1" applyFill="1" applyBorder="1" applyAlignment="1">
      <alignment horizontal="right" vertical="center" wrapText="1"/>
    </xf>
    <xf numFmtId="177" fontId="36" fillId="4" borderId="10" xfId="42" applyNumberFormat="1" applyFont="1" applyFill="1" applyBorder="1" applyAlignment="1">
      <alignment horizontal="center" vertical="center" wrapText="1"/>
    </xf>
    <xf numFmtId="176" fontId="6" fillId="4" borderId="10" xfId="0" applyNumberFormat="1" applyFont="1" applyFill="1" applyBorder="1" applyAlignment="1">
      <alignment horizontal="left" vertical="center"/>
    </xf>
    <xf numFmtId="1" fontId="36" fillId="4" borderId="10" xfId="69" applyNumberFormat="1" applyFont="1" applyFill="1" applyBorder="1" applyAlignment="1" applyProtection="1">
      <alignment horizontal="right" vertical="center"/>
      <protection locked="0"/>
    </xf>
    <xf numFmtId="176" fontId="30" fillId="4" borderId="0" xfId="55" applyNumberFormat="1" applyFont="1" applyFill="1" applyBorder="1" applyAlignment="1">
      <alignment horizontal="right" vertical="center" wrapText="1"/>
    </xf>
    <xf numFmtId="176" fontId="30" fillId="4" borderId="0" xfId="0" applyNumberFormat="1" applyFont="1" applyFill="1" applyAlignment="1">
      <alignment/>
    </xf>
    <xf numFmtId="176" fontId="6" fillId="4" borderId="10" xfId="0" applyNumberFormat="1" applyFont="1" applyFill="1" applyBorder="1" applyAlignment="1">
      <alignment vertical="center"/>
    </xf>
    <xf numFmtId="176" fontId="30" fillId="4" borderId="0" xfId="0" applyNumberFormat="1" applyFont="1" applyFill="1" applyBorder="1" applyAlignment="1">
      <alignment vertical="center"/>
    </xf>
    <xf numFmtId="176" fontId="5" fillId="4" borderId="10" xfId="0" applyNumberFormat="1" applyFont="1" applyFill="1" applyBorder="1" applyAlignment="1">
      <alignment vertical="center"/>
    </xf>
    <xf numFmtId="176" fontId="27" fillId="4" borderId="0" xfId="0" applyNumberFormat="1" applyFont="1" applyFill="1" applyBorder="1" applyAlignment="1">
      <alignment vertical="center"/>
    </xf>
    <xf numFmtId="1" fontId="36" fillId="19" borderId="10" xfId="0" applyNumberFormat="1" applyFont="1" applyFill="1" applyBorder="1" applyAlignment="1">
      <alignment horizontal="right" wrapText="1"/>
    </xf>
    <xf numFmtId="190" fontId="36" fillId="19" borderId="10" xfId="0" applyNumberFormat="1" applyFont="1" applyFill="1" applyBorder="1" applyAlignment="1">
      <alignment horizontal="right" vertical="center" wrapText="1"/>
    </xf>
    <xf numFmtId="3" fontId="6" fillId="4" borderId="10" xfId="0" applyNumberFormat="1" applyFont="1" applyFill="1" applyBorder="1" applyAlignment="1">
      <alignment vertical="center"/>
    </xf>
    <xf numFmtId="0" fontId="30" fillId="4" borderId="0" xfId="0" applyFont="1" applyFill="1" applyBorder="1" applyAlignment="1">
      <alignment vertical="center"/>
    </xf>
    <xf numFmtId="3" fontId="5" fillId="4" borderId="10" xfId="0" applyNumberFormat="1" applyFont="1" applyFill="1" applyBorder="1" applyAlignment="1">
      <alignment vertical="center"/>
    </xf>
    <xf numFmtId="0" fontId="29" fillId="4" borderId="0" xfId="0" applyFont="1" applyFill="1" applyAlignment="1">
      <alignment/>
    </xf>
    <xf numFmtId="0" fontId="7" fillId="4" borderId="10" xfId="0" applyFont="1" applyFill="1" applyBorder="1" applyAlignment="1">
      <alignment vertical="center" wrapText="1"/>
    </xf>
    <xf numFmtId="3" fontId="7" fillId="4" borderId="10" xfId="0" applyNumberFormat="1" applyFont="1" applyFill="1" applyBorder="1" applyAlignment="1">
      <alignment horizontal="right" vertical="center" wrapText="1"/>
    </xf>
    <xf numFmtId="0" fontId="5" fillId="4" borderId="10" xfId="0" applyFont="1" applyFill="1" applyBorder="1" applyAlignment="1">
      <alignment vertical="center" wrapText="1"/>
    </xf>
    <xf numFmtId="3" fontId="5" fillId="4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12" fillId="4" borderId="10" xfId="0" applyFont="1" applyFill="1" applyBorder="1" applyAlignment="1">
      <alignment horizontal="center" vertical="center" wrapText="1"/>
    </xf>
    <xf numFmtId="3" fontId="6" fillId="4" borderId="10" xfId="0" applyNumberFormat="1" applyFont="1" applyFill="1" applyBorder="1" applyAlignment="1">
      <alignment horizontal="right" vertical="center" wrapText="1"/>
    </xf>
    <xf numFmtId="3" fontId="30" fillId="4" borderId="0" xfId="0" applyNumberFormat="1" applyFont="1" applyFill="1" applyBorder="1" applyAlignment="1">
      <alignment horizontal="right" vertical="center" wrapText="1"/>
    </xf>
    <xf numFmtId="0" fontId="12" fillId="4" borderId="10" xfId="67" applyFont="1" applyFill="1" applyBorder="1" applyAlignment="1">
      <alignment vertical="center"/>
      <protection/>
    </xf>
    <xf numFmtId="0" fontId="2" fillId="4" borderId="10" xfId="0" applyNumberFormat="1" applyFont="1" applyFill="1" applyBorder="1" applyAlignment="1" applyProtection="1">
      <alignment horizontal="left" vertical="center"/>
      <protection/>
    </xf>
    <xf numFmtId="0" fontId="2" fillId="4" borderId="10" xfId="0" applyNumberFormat="1" applyFont="1" applyFill="1" applyBorder="1" applyAlignment="1" applyProtection="1">
      <alignment horizontal="center" vertical="center"/>
      <protection/>
    </xf>
    <xf numFmtId="0" fontId="27" fillId="18" borderId="0" xfId="0" applyFont="1" applyFill="1" applyAlignment="1">
      <alignment/>
    </xf>
    <xf numFmtId="0" fontId="2" fillId="18" borderId="0" xfId="0" applyFont="1" applyFill="1" applyAlignment="1">
      <alignment/>
    </xf>
    <xf numFmtId="0" fontId="7" fillId="4" borderId="10" xfId="0" applyNumberFormat="1" applyFont="1" applyFill="1" applyBorder="1" applyAlignment="1">
      <alignment horizontal="right" vertical="center" wrapText="1"/>
    </xf>
    <xf numFmtId="0" fontId="5" fillId="4" borderId="10" xfId="79" applyFont="1" applyFill="1" applyBorder="1" applyAlignment="1">
      <alignment horizontal="center" vertical="center" wrapText="1"/>
    </xf>
    <xf numFmtId="0" fontId="5" fillId="4" borderId="10" xfId="73" applyFont="1" applyFill="1" applyBorder="1" applyAlignment="1">
      <alignment horizontal="left" vertical="center" wrapText="1"/>
      <protection/>
    </xf>
    <xf numFmtId="3" fontId="5" fillId="4" borderId="10" xfId="51" applyNumberFormat="1" applyFont="1" applyFill="1" applyBorder="1" applyAlignment="1">
      <alignment horizontal="right" vertical="center" wrapText="1"/>
    </xf>
    <xf numFmtId="3" fontId="5" fillId="4" borderId="10" xfId="42" applyNumberFormat="1" applyFont="1" applyFill="1" applyBorder="1" applyAlignment="1">
      <alignment vertical="center" wrapText="1"/>
    </xf>
    <xf numFmtId="178" fontId="5" fillId="4" borderId="10" xfId="51" applyNumberFormat="1" applyFont="1" applyFill="1" applyBorder="1" applyAlignment="1">
      <alignment horizontal="right" vertical="center" wrapText="1"/>
    </xf>
    <xf numFmtId="172" fontId="5" fillId="4" borderId="10" xfId="51" applyNumberFormat="1" applyFont="1" applyFill="1" applyBorder="1" applyAlignment="1">
      <alignment vertical="center"/>
    </xf>
    <xf numFmtId="177" fontId="27" fillId="4" borderId="0" xfId="42" applyNumberFormat="1" applyFont="1" applyFill="1" applyAlignment="1">
      <alignment/>
    </xf>
    <xf numFmtId="0" fontId="7" fillId="4" borderId="10" xfId="79" applyFont="1" applyFill="1" applyBorder="1" applyAlignment="1">
      <alignment horizontal="center" vertical="center" wrapText="1"/>
    </xf>
    <xf numFmtId="0" fontId="7" fillId="4" borderId="10" xfId="73" applyFont="1" applyFill="1" applyBorder="1" applyAlignment="1">
      <alignment horizontal="left" vertical="center" wrapText="1"/>
      <protection/>
    </xf>
    <xf numFmtId="0" fontId="15" fillId="4" borderId="10" xfId="73" applyFont="1" applyFill="1" applyBorder="1" applyAlignment="1">
      <alignment horizontal="center" vertical="center" wrapText="1"/>
      <protection/>
    </xf>
    <xf numFmtId="3" fontId="7" fillId="4" borderId="10" xfId="51" applyNumberFormat="1" applyFont="1" applyFill="1" applyBorder="1" applyAlignment="1">
      <alignment horizontal="right" vertical="center" wrapText="1"/>
    </xf>
    <xf numFmtId="3" fontId="7" fillId="4" borderId="10" xfId="42" applyNumberFormat="1" applyFont="1" applyFill="1" applyBorder="1" applyAlignment="1">
      <alignment vertical="center" wrapText="1"/>
    </xf>
    <xf numFmtId="178" fontId="7" fillId="4" borderId="10" xfId="51" applyNumberFormat="1" applyFont="1" applyFill="1" applyBorder="1" applyAlignment="1">
      <alignment horizontal="right" vertical="center" wrapText="1"/>
    </xf>
    <xf numFmtId="172" fontId="7" fillId="4" borderId="10" xfId="51" applyNumberFormat="1" applyFont="1" applyFill="1" applyBorder="1" applyAlignment="1">
      <alignment vertical="center"/>
    </xf>
    <xf numFmtId="3" fontId="7" fillId="4" borderId="0" xfId="51" applyNumberFormat="1" applyFont="1" applyFill="1" applyBorder="1" applyAlignment="1">
      <alignment vertical="center" wrapText="1"/>
    </xf>
    <xf numFmtId="177" fontId="29" fillId="4" borderId="0" xfId="42" applyNumberFormat="1" applyFont="1" applyFill="1" applyAlignment="1">
      <alignment/>
    </xf>
    <xf numFmtId="0" fontId="14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 quotePrefix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right" vertical="center"/>
    </xf>
    <xf numFmtId="41" fontId="7" fillId="4" borderId="10" xfId="0" applyNumberFormat="1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right" vertical="center"/>
    </xf>
    <xf numFmtId="172" fontId="7" fillId="4" borderId="10" xfId="51" applyNumberFormat="1" applyFont="1" applyFill="1" applyBorder="1" applyAlignment="1">
      <alignment horizontal="right" vertical="center"/>
    </xf>
    <xf numFmtId="0" fontId="5" fillId="4" borderId="10" xfId="79" applyFont="1" applyFill="1" applyBorder="1" applyAlignment="1">
      <alignment vertical="center" wrapText="1"/>
    </xf>
    <xf numFmtId="0" fontId="14" fillId="4" borderId="10" xfId="79" applyFont="1" applyFill="1" applyBorder="1" applyAlignment="1">
      <alignment horizontal="center" vertical="center" wrapText="1"/>
    </xf>
    <xf numFmtId="3" fontId="2" fillId="4" borderId="0" xfId="0" applyNumberFormat="1" applyFont="1" applyFill="1" applyBorder="1" applyAlignment="1">
      <alignment vertical="center"/>
    </xf>
    <xf numFmtId="0" fontId="14" fillId="4" borderId="10" xfId="73" applyFont="1" applyFill="1" applyBorder="1" applyAlignment="1">
      <alignment horizontal="center" vertical="center"/>
      <protection/>
    </xf>
    <xf numFmtId="0" fontId="14" fillId="4" borderId="10" xfId="79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vertical="center"/>
    </xf>
    <xf numFmtId="2" fontId="5" fillId="4" borderId="10" xfId="79" applyNumberFormat="1" applyFont="1" applyFill="1" applyBorder="1" applyAlignment="1">
      <alignment vertical="center" wrapText="1"/>
    </xf>
    <xf numFmtId="3" fontId="5" fillId="4" borderId="10" xfId="78" applyNumberFormat="1" applyFont="1" applyFill="1" applyBorder="1" applyAlignment="1">
      <alignment horizontal="right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0" xfId="79" applyFont="1" applyFill="1" applyBorder="1" applyAlignment="1">
      <alignment horizontal="center" vertical="center"/>
    </xf>
    <xf numFmtId="0" fontId="6" fillId="4" borderId="10" xfId="79" applyFont="1" applyFill="1" applyBorder="1" applyAlignment="1">
      <alignment horizontal="center" vertical="center"/>
    </xf>
    <xf numFmtId="180" fontId="7" fillId="0" borderId="10" xfId="51" applyNumberFormat="1" applyFont="1" applyFill="1" applyBorder="1" applyAlignment="1">
      <alignment horizontal="right" vertical="center" wrapText="1"/>
    </xf>
    <xf numFmtId="41" fontId="7" fillId="0" borderId="10" xfId="51" applyNumberFormat="1" applyFont="1" applyFill="1" applyBorder="1" applyAlignment="1">
      <alignment horizontal="right" vertical="center" wrapText="1"/>
    </xf>
    <xf numFmtId="179" fontId="7" fillId="0" borderId="10" xfId="51" applyNumberFormat="1" applyFont="1" applyFill="1" applyBorder="1" applyAlignment="1">
      <alignment horizontal="right" vertical="center" wrapText="1"/>
    </xf>
    <xf numFmtId="182" fontId="7" fillId="0" borderId="10" xfId="51" applyNumberFormat="1" applyFont="1" applyFill="1" applyBorder="1" applyAlignment="1">
      <alignment horizontal="right" vertical="center" wrapText="1"/>
    </xf>
    <xf numFmtId="173" fontId="7" fillId="0" borderId="10" xfId="5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180" fontId="7" fillId="0" borderId="10" xfId="0" applyNumberFormat="1" applyFont="1" applyFill="1" applyBorder="1" applyAlignment="1">
      <alignment horizontal="right" vertical="center" wrapText="1"/>
    </xf>
    <xf numFmtId="179" fontId="7" fillId="0" borderId="10" xfId="51" applyNumberFormat="1" applyFont="1" applyFill="1" applyBorder="1" applyAlignment="1" quotePrefix="1">
      <alignment horizontal="right" vertical="center" wrapText="1"/>
    </xf>
    <xf numFmtId="3" fontId="32" fillId="0" borderId="10" xfId="75" applyNumberFormat="1" applyFont="1" applyFill="1" applyBorder="1" applyAlignment="1">
      <alignment horizontal="right" vertical="center"/>
      <protection/>
    </xf>
    <xf numFmtId="4" fontId="7" fillId="0" borderId="10" xfId="74" applyNumberFormat="1" applyFont="1" applyFill="1" applyBorder="1" applyAlignment="1">
      <alignment horizontal="right" vertical="center" wrapText="1"/>
      <protection/>
    </xf>
    <xf numFmtId="4" fontId="7" fillId="0" borderId="10" xfId="74" applyNumberFormat="1" applyFont="1" applyFill="1" applyBorder="1" applyAlignment="1" quotePrefix="1">
      <alignment horizontal="right" vertical="center" wrapText="1"/>
      <protection/>
    </xf>
    <xf numFmtId="3" fontId="7" fillId="0" borderId="10" xfId="74" applyNumberFormat="1" applyFont="1" applyFill="1" applyBorder="1" applyAlignment="1">
      <alignment horizontal="right" vertical="center" wrapText="1"/>
      <protection/>
    </xf>
    <xf numFmtId="3" fontId="7" fillId="0" borderId="10" xfId="75" applyNumberFormat="1" applyFont="1" applyFill="1" applyBorder="1" applyAlignment="1">
      <alignment horizontal="right" vertical="center" wrapText="1"/>
      <protection/>
    </xf>
    <xf numFmtId="178" fontId="7" fillId="0" borderId="10" xfId="75" applyNumberFormat="1" applyFont="1" applyFill="1" applyBorder="1" applyAlignment="1">
      <alignment horizontal="right" vertical="center" wrapText="1"/>
      <protection/>
    </xf>
    <xf numFmtId="4" fontId="7" fillId="0" borderId="10" xfId="75" applyNumberFormat="1" applyFont="1" applyFill="1" applyBorder="1" applyAlignment="1">
      <alignment horizontal="right" vertical="center"/>
      <protection/>
    </xf>
    <xf numFmtId="0" fontId="7" fillId="0" borderId="10" xfId="0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 wrapText="1"/>
    </xf>
    <xf numFmtId="178" fontId="8" fillId="0" borderId="10" xfId="0" applyNumberFormat="1" applyFont="1" applyFill="1" applyBorder="1" applyAlignment="1">
      <alignment horizontal="right" vertical="center" wrapText="1"/>
    </xf>
    <xf numFmtId="0" fontId="5" fillId="4" borderId="10" xfId="73" applyFont="1" applyFill="1" applyBorder="1" applyAlignment="1">
      <alignment horizontal="center" vertical="center" wrapText="1"/>
      <protection/>
    </xf>
    <xf numFmtId="41" fontId="5" fillId="4" borderId="10" xfId="51" applyNumberFormat="1" applyFont="1" applyFill="1" applyBorder="1" applyAlignment="1">
      <alignment horizontal="right" vertical="center" wrapText="1"/>
    </xf>
    <xf numFmtId="41" fontId="5" fillId="0" borderId="10" xfId="51" applyNumberFormat="1" applyFont="1" applyFill="1" applyBorder="1" applyAlignment="1">
      <alignment horizontal="right" vertical="center" wrapText="1"/>
    </xf>
    <xf numFmtId="180" fontId="5" fillId="4" borderId="10" xfId="51" applyNumberFormat="1" applyFont="1" applyFill="1" applyBorder="1" applyAlignment="1">
      <alignment horizontal="right" vertical="center" wrapText="1"/>
    </xf>
    <xf numFmtId="3" fontId="5" fillId="4" borderId="10" xfId="0" applyNumberFormat="1" applyFont="1" applyFill="1" applyBorder="1" applyAlignment="1">
      <alignment horizontal="right" vertical="center"/>
    </xf>
    <xf numFmtId="176" fontId="5" fillId="4" borderId="10" xfId="42" applyNumberFormat="1" applyFont="1" applyFill="1" applyBorder="1" applyAlignment="1">
      <alignment vertical="center" wrapText="1"/>
    </xf>
    <xf numFmtId="176" fontId="27" fillId="4" borderId="0" xfId="42" applyNumberFormat="1" applyFont="1" applyFill="1" applyAlignment="1">
      <alignment/>
    </xf>
    <xf numFmtId="2" fontId="7" fillId="0" borderId="10" xfId="51" applyNumberFormat="1" applyFont="1" applyFill="1" applyBorder="1" applyAlignment="1">
      <alignment horizontal="right" vertical="center" wrapText="1"/>
    </xf>
    <xf numFmtId="0" fontId="1" fillId="4" borderId="0" xfId="0" applyFont="1" applyFill="1" applyBorder="1" applyAlignment="1">
      <alignment vertical="center"/>
    </xf>
    <xf numFmtId="0" fontId="25" fillId="4" borderId="0" xfId="0" applyFont="1" applyFill="1" applyAlignment="1">
      <alignment horizontal="center" vertical="center"/>
    </xf>
    <xf numFmtId="0" fontId="24" fillId="4" borderId="10" xfId="0" applyFont="1" applyFill="1" applyBorder="1" applyAlignment="1">
      <alignment horizontal="center" vertical="center" wrapText="1"/>
    </xf>
    <xf numFmtId="0" fontId="35" fillId="4" borderId="10" xfId="42" applyNumberFormat="1" applyFont="1" applyFill="1" applyBorder="1" applyAlignment="1">
      <alignment horizontal="right" vertical="center" wrapText="1"/>
    </xf>
    <xf numFmtId="1" fontId="34" fillId="4" borderId="10" xfId="42" applyNumberFormat="1" applyFont="1" applyFill="1" applyBorder="1" applyAlignment="1">
      <alignment horizontal="right" vertical="center" wrapText="1"/>
    </xf>
    <xf numFmtId="2" fontId="34" fillId="4" borderId="10" xfId="42" applyNumberFormat="1" applyFont="1" applyFill="1" applyBorder="1" applyAlignment="1">
      <alignment horizontal="right" vertical="center" wrapText="1"/>
    </xf>
    <xf numFmtId="181" fontId="34" fillId="4" borderId="10" xfId="42" applyNumberFormat="1" applyFont="1" applyFill="1" applyBorder="1" applyAlignment="1">
      <alignment horizontal="right" vertical="center" wrapText="1"/>
    </xf>
    <xf numFmtId="1" fontId="34" fillId="4" borderId="10" xfId="42" applyNumberFormat="1" applyFont="1" applyFill="1" applyBorder="1" applyAlignment="1">
      <alignment horizontal="right" vertical="center" wrapText="1"/>
    </xf>
    <xf numFmtId="0" fontId="34" fillId="4" borderId="10" xfId="79" applyFont="1" applyFill="1" applyBorder="1" applyAlignment="1">
      <alignment horizontal="right" vertical="center" wrapText="1"/>
    </xf>
    <xf numFmtId="2" fontId="34" fillId="4" borderId="10" xfId="42" applyNumberFormat="1" applyFont="1" applyFill="1" applyBorder="1" applyAlignment="1">
      <alignment horizontal="right" vertical="center" wrapText="1"/>
    </xf>
    <xf numFmtId="183" fontId="34" fillId="4" borderId="10" xfId="0" applyNumberFormat="1" applyFont="1" applyFill="1" applyBorder="1" applyAlignment="1">
      <alignment horizontal="right" vertical="center" wrapText="1"/>
    </xf>
    <xf numFmtId="184" fontId="34" fillId="4" borderId="10" xfId="0" applyNumberFormat="1" applyFont="1" applyFill="1" applyBorder="1" applyAlignment="1">
      <alignment horizontal="right" vertical="center" wrapText="1"/>
    </xf>
    <xf numFmtId="2" fontId="33" fillId="4" borderId="10" xfId="42" applyNumberFormat="1" applyFont="1" applyFill="1" applyBorder="1" applyAlignment="1">
      <alignment horizontal="right" vertical="center" wrapText="1"/>
    </xf>
    <xf numFmtId="3" fontId="34" fillId="4" borderId="10" xfId="42" applyNumberFormat="1" applyFont="1" applyFill="1" applyBorder="1" applyAlignment="1">
      <alignment horizontal="right" vertical="center" wrapText="1"/>
    </xf>
    <xf numFmtId="181" fontId="33" fillId="4" borderId="10" xfId="42" applyNumberFormat="1" applyFont="1" applyFill="1" applyBorder="1" applyAlignment="1">
      <alignment horizontal="right" vertical="center" wrapText="1"/>
    </xf>
    <xf numFmtId="178" fontId="33" fillId="4" borderId="10" xfId="42" applyNumberFormat="1" applyFont="1" applyFill="1" applyBorder="1" applyAlignment="1">
      <alignment horizontal="right" vertical="center" wrapText="1"/>
    </xf>
    <xf numFmtId="1" fontId="34" fillId="4" borderId="10" xfId="49" applyNumberFormat="1" applyFont="1" applyFill="1" applyBorder="1" applyAlignment="1">
      <alignment horizontal="right" vertical="center" wrapText="1"/>
    </xf>
    <xf numFmtId="2" fontId="34" fillId="4" borderId="10" xfId="49" applyNumberFormat="1" applyFont="1" applyFill="1" applyBorder="1" applyAlignment="1">
      <alignment horizontal="right" vertical="center" wrapText="1"/>
    </xf>
    <xf numFmtId="1" fontId="35" fillId="4" borderId="10" xfId="42" applyNumberFormat="1" applyFont="1" applyFill="1" applyBorder="1" applyAlignment="1">
      <alignment horizontal="right" vertical="center" wrapText="1"/>
    </xf>
    <xf numFmtId="2" fontId="36" fillId="4" borderId="10" xfId="42" applyNumberFormat="1" applyFont="1" applyFill="1" applyBorder="1" applyAlignment="1">
      <alignment horizontal="right" vertical="center" wrapText="1"/>
    </xf>
    <xf numFmtId="1" fontId="35" fillId="4" borderId="10" xfId="42" applyNumberFormat="1" applyFont="1" applyFill="1" applyBorder="1" applyAlignment="1">
      <alignment horizontal="right" vertical="center" wrapText="1"/>
    </xf>
    <xf numFmtId="172" fontId="34" fillId="4" borderId="10" xfId="42" applyNumberFormat="1" applyFont="1" applyFill="1" applyBorder="1" applyAlignment="1">
      <alignment horizontal="right" vertical="center" wrapText="1"/>
    </xf>
    <xf numFmtId="3" fontId="34" fillId="4" borderId="10" xfId="42" applyNumberFormat="1" applyFont="1" applyFill="1" applyBorder="1" applyAlignment="1">
      <alignment horizontal="right" vertical="center" wrapText="1"/>
    </xf>
    <xf numFmtId="1" fontId="34" fillId="4" borderId="10" xfId="0" applyNumberFormat="1" applyFont="1" applyFill="1" applyBorder="1" applyAlignment="1">
      <alignment horizontal="right" vertical="center" wrapText="1"/>
    </xf>
    <xf numFmtId="3" fontId="35" fillId="4" borderId="10" xfId="42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185" fontId="34" fillId="4" borderId="10" xfId="42" applyNumberFormat="1" applyFont="1" applyFill="1" applyBorder="1" applyAlignment="1">
      <alignment horizontal="right" vertical="center" wrapText="1"/>
    </xf>
    <xf numFmtId="173" fontId="7" fillId="4" borderId="10" xfId="42" applyNumberFormat="1" applyFont="1" applyFill="1" applyBorder="1" applyAlignment="1">
      <alignment horizontal="right" vertical="center" wrapText="1"/>
    </xf>
    <xf numFmtId="43" fontId="12" fillId="4" borderId="14" xfId="42" applyFont="1" applyFill="1" applyBorder="1" applyAlignment="1">
      <alignment horizontal="center" vertical="center" wrapText="1"/>
    </xf>
    <xf numFmtId="174" fontId="5" fillId="4" borderId="10" xfId="42" applyNumberFormat="1" applyFont="1" applyFill="1" applyBorder="1" applyAlignment="1">
      <alignment horizontal="right" vertical="center" wrapText="1"/>
    </xf>
    <xf numFmtId="3" fontId="8" fillId="4" borderId="10" xfId="0" applyNumberFormat="1" applyFont="1" applyFill="1" applyBorder="1" applyAlignment="1">
      <alignment horizontal="center" vertical="center" wrapText="1"/>
    </xf>
    <xf numFmtId="172" fontId="8" fillId="4" borderId="10" xfId="42" applyNumberFormat="1" applyFont="1" applyFill="1" applyBorder="1" applyAlignment="1">
      <alignment horizontal="right" vertical="center" wrapText="1"/>
    </xf>
    <xf numFmtId="176" fontId="8" fillId="4" borderId="10" xfId="42" applyNumberFormat="1" applyFont="1" applyFill="1" applyBorder="1" applyAlignment="1">
      <alignment horizontal="right" vertical="center" wrapText="1"/>
    </xf>
    <xf numFmtId="173" fontId="8" fillId="4" borderId="10" xfId="42" applyNumberFormat="1" applyFont="1" applyFill="1" applyBorder="1" applyAlignment="1">
      <alignment horizontal="right" vertical="center" wrapText="1"/>
    </xf>
    <xf numFmtId="177" fontId="28" fillId="4" borderId="0" xfId="42" applyNumberFormat="1" applyFont="1" applyFill="1" applyAlignment="1">
      <alignment/>
    </xf>
    <xf numFmtId="173" fontId="28" fillId="4" borderId="0" xfId="0" applyNumberFormat="1" applyFont="1" applyFill="1" applyAlignment="1">
      <alignment/>
    </xf>
    <xf numFmtId="3" fontId="5" fillId="4" borderId="10" xfId="0" applyNumberFormat="1" applyFont="1" applyFill="1" applyBorder="1" applyAlignment="1">
      <alignment horizontal="right" vertical="center" wrapText="1"/>
    </xf>
    <xf numFmtId="3" fontId="7" fillId="4" borderId="10" xfId="0" applyNumberFormat="1" applyFont="1" applyFill="1" applyBorder="1" applyAlignment="1">
      <alignment horizontal="right" vertical="center" wrapText="1"/>
    </xf>
    <xf numFmtId="178" fontId="8" fillId="4" borderId="10" xfId="0" applyNumberFormat="1" applyFont="1" applyFill="1" applyBorder="1" applyAlignment="1">
      <alignment horizontal="right" vertical="center" wrapText="1"/>
    </xf>
    <xf numFmtId="0" fontId="0" fillId="4" borderId="0" xfId="0" applyFont="1" applyFill="1" applyAlignment="1">
      <alignment vertical="center"/>
    </xf>
    <xf numFmtId="172" fontId="2" fillId="4" borderId="0" xfId="0" applyNumberFormat="1" applyFont="1" applyFill="1" applyAlignment="1">
      <alignment horizontal="left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172" fontId="12" fillId="4" borderId="11" xfId="42" applyNumberFormat="1" applyFont="1" applyFill="1" applyBorder="1" applyAlignment="1">
      <alignment horizontal="center" vertical="center" wrapText="1"/>
    </xf>
    <xf numFmtId="172" fontId="12" fillId="4" borderId="15" xfId="42" applyNumberFormat="1" applyFont="1" applyFill="1" applyBorder="1" applyAlignment="1">
      <alignment horizontal="center" vertical="center" wrapText="1"/>
    </xf>
    <xf numFmtId="172" fontId="12" fillId="4" borderId="16" xfId="42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176" fontId="5" fillId="4" borderId="10" xfId="42" applyNumberFormat="1" applyFont="1" applyFill="1" applyBorder="1" applyAlignment="1">
      <alignment horizontal="right" vertical="center" wrapText="1"/>
    </xf>
    <xf numFmtId="176" fontId="2" fillId="4" borderId="10" xfId="0" applyNumberFormat="1" applyFont="1" applyFill="1" applyBorder="1" applyAlignment="1">
      <alignment vertical="center"/>
    </xf>
    <xf numFmtId="176" fontId="5" fillId="4" borderId="10" xfId="0" applyNumberFormat="1" applyFont="1" applyFill="1" applyBorder="1" applyAlignment="1">
      <alignment vertical="center"/>
    </xf>
    <xf numFmtId="176" fontId="6" fillId="4" borderId="10" xfId="42" applyNumberFormat="1" applyFont="1" applyFill="1" applyBorder="1" applyAlignment="1">
      <alignment horizontal="right" vertical="center" wrapText="1"/>
    </xf>
    <xf numFmtId="176" fontId="6" fillId="4" borderId="10" xfId="46" applyNumberFormat="1" applyFont="1" applyFill="1" applyBorder="1" applyAlignment="1">
      <alignment horizontal="right" wrapText="1"/>
    </xf>
    <xf numFmtId="176" fontId="19" fillId="4" borderId="10" xfId="42" applyNumberFormat="1" applyFont="1" applyFill="1" applyBorder="1" applyAlignment="1">
      <alignment horizontal="right" vertical="center" wrapText="1"/>
    </xf>
    <xf numFmtId="176" fontId="7" fillId="4" borderId="10" xfId="0" applyNumberFormat="1" applyFont="1" applyFill="1" applyBorder="1" applyAlignment="1">
      <alignment vertical="center"/>
    </xf>
    <xf numFmtId="3" fontId="34" fillId="4" borderId="10" xfId="69" applyNumberFormat="1" applyFont="1" applyFill="1" applyBorder="1" applyAlignment="1" applyProtection="1">
      <alignment horizontal="right" vertical="center"/>
      <protection locked="0"/>
    </xf>
    <xf numFmtId="176" fontId="0" fillId="4" borderId="10" xfId="55" applyNumberFormat="1" applyFont="1" applyFill="1" applyBorder="1" applyAlignment="1">
      <alignment horizontal="right" vertical="center" wrapText="1"/>
    </xf>
    <xf numFmtId="176" fontId="7" fillId="4" borderId="10" xfId="0" applyNumberFormat="1" applyFont="1" applyFill="1" applyBorder="1" applyAlignment="1">
      <alignment horizontal="left" vertical="center"/>
    </xf>
    <xf numFmtId="176" fontId="6" fillId="4" borderId="10" xfId="0" applyNumberFormat="1" applyFont="1" applyFill="1" applyBorder="1" applyAlignment="1">
      <alignment horizontal="left" vertical="center"/>
    </xf>
    <xf numFmtId="1" fontId="36" fillId="4" borderId="10" xfId="69" applyNumberFormat="1" applyFont="1" applyFill="1" applyBorder="1" applyAlignment="1" applyProtection="1">
      <alignment horizontal="right" vertical="center"/>
      <protection locked="0"/>
    </xf>
    <xf numFmtId="176" fontId="19" fillId="4" borderId="10" xfId="55" applyNumberFormat="1" applyFont="1" applyFill="1" applyBorder="1" applyAlignment="1">
      <alignment horizontal="right" vertical="center" wrapText="1"/>
    </xf>
    <xf numFmtId="176" fontId="7" fillId="4" borderId="10" xfId="55" applyNumberFormat="1" applyFont="1" applyFill="1" applyBorder="1" applyAlignment="1">
      <alignment horizontal="right" vertical="center" wrapText="1"/>
    </xf>
    <xf numFmtId="176" fontId="6" fillId="4" borderId="10" xfId="0" applyNumberFormat="1" applyFont="1" applyFill="1" applyBorder="1" applyAlignment="1">
      <alignment horizontal="left" vertical="center"/>
    </xf>
    <xf numFmtId="177" fontId="7" fillId="4" borderId="10" xfId="46" applyNumberFormat="1" applyFont="1" applyFill="1" applyBorder="1" applyAlignment="1">
      <alignment horizontal="right" vertical="center" wrapText="1"/>
    </xf>
    <xf numFmtId="176" fontId="19" fillId="4" borderId="10" xfId="0" applyNumberFormat="1" applyFont="1" applyFill="1" applyBorder="1" applyAlignment="1">
      <alignment vertical="center"/>
    </xf>
    <xf numFmtId="177" fontId="7" fillId="4" borderId="10" xfId="0" applyNumberFormat="1" applyFont="1" applyFill="1" applyBorder="1" applyAlignment="1">
      <alignment horizontal="left" vertical="center"/>
    </xf>
    <xf numFmtId="177" fontId="7" fillId="4" borderId="10" xfId="55" applyNumberFormat="1" applyFont="1" applyFill="1" applyBorder="1" applyAlignment="1">
      <alignment horizontal="right" vertical="center" wrapText="1"/>
    </xf>
    <xf numFmtId="177" fontId="0" fillId="4" borderId="10" xfId="51" applyNumberFormat="1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/>
    </xf>
    <xf numFmtId="177" fontId="0" fillId="4" borderId="10" xfId="0" applyNumberFormat="1" applyFont="1" applyFill="1" applyBorder="1" applyAlignment="1">
      <alignment vertical="center"/>
    </xf>
    <xf numFmtId="177" fontId="7" fillId="4" borderId="10" xfId="0" applyNumberFormat="1" applyFont="1" applyFill="1" applyBorder="1" applyAlignment="1">
      <alignment vertical="center"/>
    </xf>
    <xf numFmtId="181" fontId="0" fillId="4" borderId="10" xfId="0" applyNumberFormat="1" applyFont="1" applyFill="1" applyBorder="1" applyAlignment="1">
      <alignment/>
    </xf>
    <xf numFmtId="181" fontId="7" fillId="4" borderId="10" xfId="55" applyNumberFormat="1" applyFont="1" applyFill="1" applyBorder="1" applyAlignment="1">
      <alignment horizontal="right" vertical="center" wrapText="1"/>
    </xf>
    <xf numFmtId="176" fontId="0" fillId="4" borderId="10" xfId="51" applyNumberFormat="1" applyFont="1" applyFill="1" applyBorder="1" applyAlignment="1">
      <alignment horizontal="right" vertical="center" wrapText="1"/>
    </xf>
    <xf numFmtId="176" fontId="6" fillId="4" borderId="10" xfId="0" applyNumberFormat="1" applyFont="1" applyFill="1" applyBorder="1" applyAlignment="1">
      <alignment vertical="center"/>
    </xf>
    <xf numFmtId="43" fontId="5" fillId="4" borderId="10" xfId="42" applyNumberFormat="1" applyFont="1" applyFill="1" applyBorder="1" applyAlignment="1">
      <alignment horizontal="right" vertical="center" wrapText="1"/>
    </xf>
    <xf numFmtId="176" fontId="6" fillId="4" borderId="10" xfId="0" applyNumberFormat="1" applyFont="1" applyFill="1" applyBorder="1" applyAlignment="1">
      <alignment vertical="center"/>
    </xf>
    <xf numFmtId="176" fontId="19" fillId="4" borderId="10" xfId="0" applyNumberFormat="1" applyFont="1" applyFill="1" applyBorder="1" applyAlignment="1">
      <alignment vertical="center"/>
    </xf>
    <xf numFmtId="176" fontId="7" fillId="4" borderId="10" xfId="42" applyNumberFormat="1" applyFont="1" applyFill="1" applyBorder="1" applyAlignment="1">
      <alignment horizontal="right" vertical="center" wrapText="1"/>
    </xf>
    <xf numFmtId="176" fontId="0" fillId="4" borderId="10" xfId="0" applyNumberFormat="1" applyFont="1" applyFill="1" applyBorder="1" applyAlignment="1">
      <alignment vertical="center"/>
    </xf>
    <xf numFmtId="43" fontId="7" fillId="4" borderId="10" xfId="0" applyNumberFormat="1" applyFont="1" applyFill="1" applyBorder="1" applyAlignment="1">
      <alignment vertical="center"/>
    </xf>
    <xf numFmtId="43" fontId="0" fillId="4" borderId="10" xfId="0" applyNumberFormat="1" applyFont="1" applyFill="1" applyBorder="1" applyAlignment="1">
      <alignment vertical="center"/>
    </xf>
    <xf numFmtId="43" fontId="31" fillId="4" borderId="10" xfId="0" applyNumberFormat="1" applyFont="1" applyFill="1" applyBorder="1" applyAlignment="1">
      <alignment vertical="center"/>
    </xf>
    <xf numFmtId="1" fontId="36" fillId="19" borderId="10" xfId="0" applyNumberFormat="1" applyFont="1" applyFill="1" applyBorder="1" applyAlignment="1">
      <alignment horizontal="right" wrapText="1"/>
    </xf>
    <xf numFmtId="190" fontId="36" fillId="19" borderId="10" xfId="0" applyNumberFormat="1" applyFont="1" applyFill="1" applyBorder="1" applyAlignment="1">
      <alignment horizontal="right" vertical="center" wrapText="1"/>
    </xf>
    <xf numFmtId="1" fontId="34" fillId="19" borderId="10" xfId="0" applyNumberFormat="1" applyFont="1" applyFill="1" applyBorder="1" applyAlignment="1">
      <alignment horizontal="right" wrapText="1"/>
    </xf>
    <xf numFmtId="190" fontId="34" fillId="19" borderId="10" xfId="0" applyNumberFormat="1" applyFont="1" applyFill="1" applyBorder="1" applyAlignment="1">
      <alignment horizontal="right" vertical="center" wrapText="1"/>
    </xf>
    <xf numFmtId="0" fontId="0" fillId="4" borderId="10" xfId="71" applyFont="1" applyFill="1" applyBorder="1" applyAlignment="1">
      <alignment horizontal="right" vertical="center" wrapText="1"/>
      <protection/>
    </xf>
    <xf numFmtId="181" fontId="34" fillId="19" borderId="10" xfId="0" applyNumberFormat="1" applyFont="1" applyFill="1" applyBorder="1" applyAlignment="1">
      <alignment horizontal="right" wrapText="1"/>
    </xf>
    <xf numFmtId="177" fontId="0" fillId="4" borderId="10" xfId="55" applyNumberFormat="1" applyFont="1" applyFill="1" applyBorder="1" applyAlignment="1">
      <alignment horizontal="right" vertical="center" wrapText="1"/>
    </xf>
    <xf numFmtId="181" fontId="34" fillId="19" borderId="10" xfId="0" applyNumberFormat="1" applyFont="1" applyFill="1" applyBorder="1" applyAlignment="1">
      <alignment horizontal="right" vertical="center" wrapText="1"/>
    </xf>
    <xf numFmtId="2" fontId="34" fillId="19" borderId="10" xfId="0" applyNumberFormat="1" applyFont="1" applyFill="1" applyBorder="1" applyAlignment="1">
      <alignment horizontal="right" vertical="center" wrapText="1"/>
    </xf>
    <xf numFmtId="188" fontId="34" fillId="19" borderId="10" xfId="0" applyNumberFormat="1" applyFont="1" applyFill="1" applyBorder="1" applyAlignment="1">
      <alignment horizontal="right" vertical="center" wrapText="1"/>
    </xf>
    <xf numFmtId="189" fontId="34" fillId="19" borderId="10" xfId="0" applyNumberFormat="1" applyFont="1" applyFill="1" applyBorder="1" applyAlignment="1">
      <alignment horizontal="right" vertical="center" wrapText="1"/>
    </xf>
    <xf numFmtId="177" fontId="7" fillId="4" borderId="10" xfId="42" applyNumberFormat="1" applyFont="1" applyFill="1" applyBorder="1" applyAlignment="1">
      <alignment horizontal="right" vertical="center" wrapText="1"/>
    </xf>
    <xf numFmtId="177" fontId="31" fillId="4" borderId="10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3" fontId="19" fillId="4" borderId="10" xfId="0" applyNumberFormat="1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/>
    </xf>
    <xf numFmtId="0" fontId="1" fillId="4" borderId="10" xfId="0" applyFont="1" applyFill="1" applyBorder="1" applyAlignment="1">
      <alignment vertical="center"/>
    </xf>
    <xf numFmtId="178" fontId="7" fillId="4" borderId="10" xfId="0" applyNumberFormat="1" applyFont="1" applyFill="1" applyBorder="1" applyAlignment="1">
      <alignment horizontal="right" vertical="center" wrapText="1"/>
    </xf>
    <xf numFmtId="178" fontId="1" fillId="4" borderId="10" xfId="0" applyNumberFormat="1" applyFont="1" applyFill="1" applyBorder="1" applyAlignment="1">
      <alignment horizontal="right" vertical="center" wrapText="1"/>
    </xf>
    <xf numFmtId="178" fontId="0" fillId="4" borderId="10" xfId="0" applyNumberFormat="1" applyFont="1" applyFill="1" applyBorder="1" applyAlignment="1">
      <alignment horizontal="right" vertical="center" wrapText="1"/>
    </xf>
    <xf numFmtId="177" fontId="1" fillId="4" borderId="10" xfId="0" applyNumberFormat="1" applyFont="1" applyFill="1" applyBorder="1" applyAlignment="1">
      <alignment vertical="center"/>
    </xf>
    <xf numFmtId="0" fontId="19" fillId="4" borderId="10" xfId="0" applyFont="1" applyFill="1" applyBorder="1" applyAlignment="1">
      <alignment/>
    </xf>
    <xf numFmtId="43" fontId="7" fillId="4" borderId="10" xfId="42" applyNumberFormat="1" applyFont="1" applyFill="1" applyBorder="1" applyAlignment="1">
      <alignment horizontal="right" vertical="center" wrapText="1"/>
    </xf>
    <xf numFmtId="3" fontId="7" fillId="4" borderId="10" xfId="0" applyNumberFormat="1" applyFont="1" applyFill="1" applyBorder="1" applyAlignment="1">
      <alignment vertical="center"/>
    </xf>
    <xf numFmtId="3" fontId="5" fillId="4" borderId="10" xfId="0" applyNumberFormat="1" applyFont="1" applyFill="1" applyBorder="1" applyAlignment="1">
      <alignment vertical="center"/>
    </xf>
    <xf numFmtId="176" fontId="2" fillId="4" borderId="10" xfId="0" applyNumberFormat="1" applyFont="1" applyFill="1" applyBorder="1" applyAlignment="1">
      <alignment vertical="center"/>
    </xf>
    <xf numFmtId="3" fontId="5" fillId="4" borderId="10" xfId="0" applyNumberFormat="1" applyFont="1" applyFill="1" applyBorder="1" applyAlignment="1">
      <alignment horizontal="right" vertical="center" wrapText="1"/>
    </xf>
    <xf numFmtId="176" fontId="5" fillId="4" borderId="10" xfId="0" applyNumberFormat="1" applyFont="1" applyFill="1" applyBorder="1" applyAlignment="1">
      <alignment vertical="center"/>
    </xf>
    <xf numFmtId="43" fontId="5" fillId="4" borderId="10" xfId="42" applyNumberFormat="1" applyFont="1" applyFill="1" applyBorder="1" applyAlignment="1">
      <alignment horizontal="right" vertical="center" wrapText="1"/>
    </xf>
    <xf numFmtId="178" fontId="31" fillId="4" borderId="10" xfId="0" applyNumberFormat="1" applyFont="1" applyFill="1" applyBorder="1" applyAlignment="1">
      <alignment horizontal="right" vertical="center" wrapText="1"/>
    </xf>
    <xf numFmtId="176" fontId="5" fillId="4" borderId="10" xfId="42" applyNumberFormat="1" applyFont="1" applyFill="1" applyBorder="1" applyAlignment="1">
      <alignment horizontal="right" vertical="center" wrapText="1"/>
    </xf>
    <xf numFmtId="3" fontId="6" fillId="4" borderId="10" xfId="0" applyNumberFormat="1" applyFont="1" applyFill="1" applyBorder="1" applyAlignment="1">
      <alignment horizontal="right" vertical="center" wrapText="1"/>
    </xf>
    <xf numFmtId="3" fontId="19" fillId="4" borderId="10" xfId="0" applyNumberFormat="1" applyFont="1" applyFill="1" applyBorder="1" applyAlignment="1">
      <alignment horizontal="right" vertical="center" wrapText="1"/>
    </xf>
    <xf numFmtId="3" fontId="0" fillId="4" borderId="10" xfId="0" applyNumberFormat="1" applyFont="1" applyFill="1" applyBorder="1" applyAlignment="1">
      <alignment horizontal="right" vertical="center" wrapText="1"/>
    </xf>
    <xf numFmtId="3" fontId="0" fillId="4" borderId="10" xfId="0" applyNumberFormat="1" applyFont="1" applyFill="1" applyBorder="1" applyAlignment="1" quotePrefix="1">
      <alignment horizontal="right" vertical="center" wrapText="1"/>
    </xf>
    <xf numFmtId="3" fontId="1" fillId="4" borderId="10" xfId="0" applyNumberFormat="1" applyFont="1" applyFill="1" applyBorder="1" applyAlignment="1">
      <alignment horizontal="right" vertical="center" wrapText="1"/>
    </xf>
    <xf numFmtId="178" fontId="5" fillId="4" borderId="10" xfId="0" applyNumberFormat="1" applyFont="1" applyFill="1" applyBorder="1" applyAlignment="1">
      <alignment vertical="center"/>
    </xf>
    <xf numFmtId="176" fontId="8" fillId="4" borderId="10" xfId="0" applyNumberFormat="1" applyFont="1" applyFill="1" applyBorder="1" applyAlignment="1">
      <alignment vertical="center"/>
    </xf>
    <xf numFmtId="178" fontId="7" fillId="4" borderId="10" xfId="0" applyNumberFormat="1" applyFont="1" applyFill="1" applyBorder="1" applyAlignment="1">
      <alignment vertical="center"/>
    </xf>
    <xf numFmtId="178" fontId="0" fillId="4" borderId="10" xfId="0" applyNumberFormat="1" applyFont="1" applyFill="1" applyBorder="1" applyAlignment="1">
      <alignment vertical="center"/>
    </xf>
    <xf numFmtId="0" fontId="0" fillId="4" borderId="0" xfId="0" applyFont="1" applyFill="1" applyAlignment="1">
      <alignment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43" fontId="12" fillId="4" borderId="17" xfId="42" applyFont="1" applyFill="1" applyBorder="1" applyAlignment="1">
      <alignment horizontal="center" vertical="center" wrapText="1"/>
    </xf>
    <xf numFmtId="43" fontId="12" fillId="4" borderId="18" xfId="42" applyFont="1" applyFill="1" applyBorder="1" applyAlignment="1">
      <alignment horizontal="center" vertical="center" wrapText="1"/>
    </xf>
    <xf numFmtId="43" fontId="12" fillId="4" borderId="19" xfId="42" applyFont="1" applyFill="1" applyBorder="1" applyAlignment="1">
      <alignment horizontal="center" vertical="center" wrapText="1"/>
    </xf>
    <xf numFmtId="43" fontId="12" fillId="4" borderId="11" xfId="42" applyFont="1" applyFill="1" applyBorder="1" applyAlignment="1">
      <alignment horizontal="center" vertical="center" wrapText="1"/>
    </xf>
    <xf numFmtId="43" fontId="12" fillId="4" borderId="16" xfId="42" applyFont="1" applyFill="1" applyBorder="1" applyAlignment="1">
      <alignment horizontal="center" vertical="center" wrapText="1"/>
    </xf>
    <xf numFmtId="43" fontId="12" fillId="4" borderId="10" xfId="42" applyFont="1" applyFill="1" applyBorder="1" applyAlignment="1">
      <alignment horizontal="center" vertical="center" wrapText="1"/>
    </xf>
    <xf numFmtId="43" fontId="12" fillId="4" borderId="20" xfId="42" applyFont="1" applyFill="1" applyBorder="1" applyAlignment="1">
      <alignment horizontal="center" vertical="center" wrapText="1"/>
    </xf>
    <xf numFmtId="43" fontId="12" fillId="4" borderId="21" xfId="42" applyFont="1" applyFill="1" applyBorder="1" applyAlignment="1">
      <alignment horizontal="center" vertical="center" wrapText="1"/>
    </xf>
    <xf numFmtId="43" fontId="12" fillId="4" borderId="22" xfId="42" applyFont="1" applyFill="1" applyBorder="1" applyAlignment="1">
      <alignment horizontal="center" vertical="center" wrapText="1"/>
    </xf>
    <xf numFmtId="43" fontId="12" fillId="4" borderId="23" xfId="42" applyFont="1" applyFill="1" applyBorder="1" applyAlignment="1">
      <alignment horizontal="center" vertical="center" wrapText="1"/>
    </xf>
    <xf numFmtId="43" fontId="12" fillId="4" borderId="24" xfId="42" applyFont="1" applyFill="1" applyBorder="1" applyAlignment="1">
      <alignment horizontal="center" vertical="center" wrapText="1"/>
    </xf>
    <xf numFmtId="172" fontId="12" fillId="0" borderId="11" xfId="42" applyNumberFormat="1" applyFont="1" applyFill="1" applyBorder="1" applyAlignment="1">
      <alignment horizontal="center" vertical="center" wrapText="1"/>
    </xf>
    <xf numFmtId="172" fontId="12" fillId="0" borderId="15" xfId="42" applyNumberFormat="1" applyFont="1" applyFill="1" applyBorder="1" applyAlignment="1">
      <alignment horizontal="center" vertical="center" wrapText="1"/>
    </xf>
    <xf numFmtId="172" fontId="12" fillId="0" borderId="16" xfId="42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172" fontId="12" fillId="4" borderId="10" xfId="42" applyNumberFormat="1" applyFont="1" applyFill="1" applyBorder="1" applyAlignment="1">
      <alignment horizontal="center" vertical="center" wrapText="1"/>
    </xf>
    <xf numFmtId="43" fontId="12" fillId="4" borderId="11" xfId="42" applyFont="1" applyFill="1" applyBorder="1" applyAlignment="1">
      <alignment horizontal="center" vertical="center" wrapText="1"/>
    </xf>
    <xf numFmtId="43" fontId="12" fillId="4" borderId="16" xfId="42" applyFont="1" applyFill="1" applyBorder="1" applyAlignment="1">
      <alignment horizontal="center" vertical="center" wrapText="1"/>
    </xf>
    <xf numFmtId="43" fontId="12" fillId="4" borderId="14" xfId="42" applyFont="1" applyFill="1" applyBorder="1" applyAlignment="1">
      <alignment horizontal="center" vertical="center" wrapText="1"/>
    </xf>
    <xf numFmtId="43" fontId="12" fillId="4" borderId="17" xfId="42" applyFont="1" applyFill="1" applyBorder="1" applyAlignment="1">
      <alignment horizontal="center" vertical="center" wrapText="1"/>
    </xf>
    <xf numFmtId="43" fontId="12" fillId="4" borderId="18" xfId="42" applyFont="1" applyFill="1" applyBorder="1" applyAlignment="1">
      <alignment horizontal="center" vertical="center" wrapText="1"/>
    </xf>
    <xf numFmtId="43" fontId="12" fillId="4" borderId="19" xfId="42" applyFont="1" applyFill="1" applyBorder="1" applyAlignment="1">
      <alignment horizontal="center" vertical="center" wrapText="1"/>
    </xf>
    <xf numFmtId="172" fontId="12" fillId="4" borderId="11" xfId="42" applyNumberFormat="1" applyFont="1" applyFill="1" applyBorder="1" applyAlignment="1">
      <alignment horizontal="center" vertical="center" wrapText="1"/>
    </xf>
    <xf numFmtId="172" fontId="12" fillId="4" borderId="15" xfId="42" applyNumberFormat="1" applyFont="1" applyFill="1" applyBorder="1" applyAlignment="1">
      <alignment horizontal="center" vertical="center" wrapText="1"/>
    </xf>
    <xf numFmtId="172" fontId="12" fillId="4" borderId="16" xfId="42" applyNumberFormat="1" applyFont="1" applyFill="1" applyBorder="1" applyAlignment="1">
      <alignment horizontal="center" vertical="center" wrapText="1"/>
    </xf>
    <xf numFmtId="43" fontId="12" fillId="4" borderId="10" xfId="42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43" fontId="5" fillId="4" borderId="11" xfId="42" applyFont="1" applyFill="1" applyBorder="1" applyAlignment="1">
      <alignment horizontal="center" vertical="center" wrapText="1"/>
    </xf>
    <xf numFmtId="43" fontId="5" fillId="4" borderId="15" xfId="42" applyFont="1" applyFill="1" applyBorder="1" applyAlignment="1">
      <alignment horizontal="center" vertical="center" wrapText="1"/>
    </xf>
    <xf numFmtId="43" fontId="5" fillId="4" borderId="16" xfId="42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3" fontId="37" fillId="18" borderId="25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72" fontId="51" fillId="4" borderId="11" xfId="42" applyNumberFormat="1" applyFont="1" applyFill="1" applyBorder="1" applyAlignment="1">
      <alignment horizontal="center" vertical="center" wrapText="1"/>
    </xf>
    <xf numFmtId="172" fontId="51" fillId="4" borderId="15" xfId="42" applyNumberFormat="1" applyFont="1" applyFill="1" applyBorder="1" applyAlignment="1">
      <alignment horizontal="center" vertical="center" wrapText="1"/>
    </xf>
    <xf numFmtId="172" fontId="51" fillId="4" borderId="16" xfId="42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72" fontId="5" fillId="4" borderId="10" xfId="42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/>
    </xf>
    <xf numFmtId="43" fontId="2" fillId="4" borderId="0" xfId="42" applyFont="1" applyFill="1" applyBorder="1" applyAlignment="1">
      <alignment horizontal="center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9" xfId="47"/>
    <cellStyle name="Comma 2" xfId="48"/>
    <cellStyle name="Comma 3" xfId="49"/>
    <cellStyle name="Comma 59" xfId="50"/>
    <cellStyle name="Comma 9" xfId="51"/>
    <cellStyle name="Comma_Sheet1 2" xfId="52"/>
    <cellStyle name="Currency" xfId="53"/>
    <cellStyle name="Currency [0]" xfId="54"/>
    <cellStyle name="Dấu phẩy 5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1 3 3" xfId="67"/>
    <cellStyle name="Normal 16" xfId="68"/>
    <cellStyle name="Normal 7" xfId="69"/>
    <cellStyle name="Normal_Bieu So KH 11.11.2008_Bieu so lieu KH 2010 ((1493))" xfId="70"/>
    <cellStyle name="Normal_Chi tieu nam 2009 moi" xfId="71"/>
    <cellStyle name="Normal_Chi tieu nam 2009 moi 2 2" xfId="72"/>
    <cellStyle name="Normal_Chi tieu PTSNYT và hoat dong tinh 2009" xfId="73"/>
    <cellStyle name="Normal_Chi tieu PTSNYT và hoat dong tinh 2009 H" xfId="74"/>
    <cellStyle name="Normal_Chi tieu PTSNYT và hoat dong tinh 2009 H_Bieu so lieu KH 2010 ((1493))" xfId="75"/>
    <cellStyle name="Note" xfId="76"/>
    <cellStyle name="Output" xfId="77"/>
    <cellStyle name="Percent" xfId="78"/>
    <cellStyle name="Style 1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Zalo%20Received%20Files\BI&#7874;U%20TH%20HUY&#7878;N%202023,%20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ownloads\BIEU-CHI-TIET-KH-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ỂU 01"/>
      <sheetName val="BIỂU 02"/>
      <sheetName val="BIỂU 03"/>
      <sheetName val="BIỂU 04"/>
      <sheetName val="BIỂU 05"/>
    </sheetNames>
    <sheetDataSet>
      <sheetData sheetId="3">
        <row r="81">
          <cell r="E81">
            <v>51710.826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du thao KH"/>
      <sheetName val="lua  "/>
      <sheetName val="ngo "/>
      <sheetName val="KHOAI"/>
      <sheetName val="SAN"/>
      <sheetName val="cay chat bot"/>
      <sheetName val="RAU MAU"/>
      <sheetName val="c c.nghiep "/>
      <sheetName val="chan nuoi "/>
      <sheetName val="thuy san"/>
      <sheetName val="Lâm nghiệp"/>
    </sheetNames>
    <sheetDataSet>
      <sheetData sheetId="9">
        <row r="28">
          <cell r="Q28">
            <v>1971229.576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2"/>
  <sheetViews>
    <sheetView view="pageBreakPreview" zoomScale="75" zoomScaleSheetLayoutView="75" zoomScalePageLayoutView="0" workbookViewId="0" topLeftCell="A1">
      <selection activeCell="A3" sqref="A3:N3"/>
    </sheetView>
  </sheetViews>
  <sheetFormatPr defaultColWidth="9.00390625" defaultRowHeight="15.75"/>
  <cols>
    <col min="1" max="1" width="5.50390625" style="86" customWidth="1"/>
    <col min="2" max="2" width="37.50390625" style="0" customWidth="1"/>
    <col min="3" max="3" width="9.125" style="86" customWidth="1"/>
    <col min="4" max="4" width="11.25390625" style="0" hidden="1" customWidth="1"/>
    <col min="5" max="7" width="11.25390625" style="0" customWidth="1"/>
    <col min="8" max="8" width="11.00390625" style="42" customWidth="1"/>
    <col min="9" max="9" width="10.375" style="0" customWidth="1"/>
    <col min="10" max="10" width="11.125" style="0" customWidth="1"/>
    <col min="11" max="12" width="11.75390625" style="0" customWidth="1"/>
    <col min="13" max="13" width="9.75390625" style="0" hidden="1" customWidth="1"/>
    <col min="14" max="14" width="12.375" style="0" customWidth="1"/>
    <col min="15" max="15" width="14.625" style="407" customWidth="1"/>
    <col min="16" max="16" width="11.125" style="408" customWidth="1"/>
    <col min="17" max="17" width="11.50390625" style="409" customWidth="1"/>
    <col min="18" max="18" width="11.625" style="408" bestFit="1" customWidth="1"/>
    <col min="19" max="22" width="10.625" style="408" customWidth="1"/>
    <col min="23" max="24" width="9.25390625" style="408" bestFit="1" customWidth="1"/>
    <col min="25" max="26" width="10.875" style="408" bestFit="1" customWidth="1"/>
    <col min="27" max="27" width="11.125" style="408" customWidth="1"/>
    <col min="28" max="28" width="9.125" style="408" bestFit="1" customWidth="1"/>
    <col min="29" max="31" width="10.875" style="408" bestFit="1" customWidth="1"/>
    <col min="32" max="48" width="9.00390625" style="408" customWidth="1"/>
  </cols>
  <sheetData>
    <row r="1" spans="1:14" ht="27" customHeight="1">
      <c r="A1" s="96"/>
      <c r="B1" s="1"/>
      <c r="C1" s="96"/>
      <c r="D1" s="1"/>
      <c r="E1" s="1"/>
      <c r="F1" s="1"/>
      <c r="G1" s="1"/>
      <c r="H1" s="1"/>
      <c r="I1" s="1"/>
      <c r="J1" s="1"/>
      <c r="K1" s="1"/>
      <c r="L1" s="825" t="s">
        <v>0</v>
      </c>
      <c r="M1" s="825"/>
      <c r="N1" s="825"/>
    </row>
    <row r="2" spans="1:14" ht="27" customHeight="1">
      <c r="A2" s="826" t="s">
        <v>693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</row>
    <row r="3" spans="1:14" ht="27" customHeight="1">
      <c r="A3" s="827" t="s">
        <v>706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</row>
    <row r="4" spans="1:14" ht="18.75">
      <c r="A4" s="2"/>
      <c r="B4" s="2"/>
      <c r="C4" s="2"/>
      <c r="D4" s="3"/>
      <c r="E4" s="3"/>
      <c r="F4" s="3"/>
      <c r="G4" s="3"/>
      <c r="H4" s="4"/>
      <c r="I4" s="4"/>
      <c r="J4" s="4"/>
      <c r="K4" s="4"/>
      <c r="L4" s="4"/>
      <c r="M4" s="4"/>
      <c r="N4" s="4"/>
    </row>
    <row r="5" spans="1:16" ht="11.25" customHeight="1">
      <c r="A5" s="828" t="s">
        <v>1</v>
      </c>
      <c r="B5" s="828" t="s">
        <v>2</v>
      </c>
      <c r="C5" s="828" t="s">
        <v>3</v>
      </c>
      <c r="D5" s="740" t="s">
        <v>670</v>
      </c>
      <c r="E5" s="740" t="s">
        <v>687</v>
      </c>
      <c r="F5" s="740" t="s">
        <v>689</v>
      </c>
      <c r="G5" s="840" t="s">
        <v>690</v>
      </c>
      <c r="H5" s="725" t="s">
        <v>672</v>
      </c>
      <c r="I5" s="829"/>
      <c r="J5" s="725" t="s">
        <v>4</v>
      </c>
      <c r="K5" s="838"/>
      <c r="L5" s="829"/>
      <c r="M5" s="835" t="s">
        <v>672</v>
      </c>
      <c r="N5" s="834" t="s">
        <v>691</v>
      </c>
      <c r="O5" s="407" t="s">
        <v>571</v>
      </c>
      <c r="P5" s="410"/>
    </row>
    <row r="6" spans="1:16" ht="11.25" customHeight="1">
      <c r="A6" s="738"/>
      <c r="B6" s="738"/>
      <c r="C6" s="738"/>
      <c r="D6" s="741"/>
      <c r="E6" s="741"/>
      <c r="F6" s="741"/>
      <c r="G6" s="841"/>
      <c r="H6" s="830"/>
      <c r="I6" s="831"/>
      <c r="J6" s="830"/>
      <c r="K6" s="839"/>
      <c r="L6" s="831"/>
      <c r="M6" s="836"/>
      <c r="N6" s="834"/>
      <c r="P6" s="410"/>
    </row>
    <row r="7" spans="1:16" ht="54" customHeight="1">
      <c r="A7" s="738"/>
      <c r="B7" s="738"/>
      <c r="C7" s="738"/>
      <c r="D7" s="741"/>
      <c r="E7" s="741"/>
      <c r="F7" s="741"/>
      <c r="G7" s="841"/>
      <c r="H7" s="832" t="s">
        <v>6</v>
      </c>
      <c r="I7" s="832" t="s">
        <v>7</v>
      </c>
      <c r="J7" s="832" t="s">
        <v>692</v>
      </c>
      <c r="K7" s="834" t="s">
        <v>704</v>
      </c>
      <c r="L7" s="834" t="s">
        <v>705</v>
      </c>
      <c r="M7" s="836"/>
      <c r="N7" s="834"/>
      <c r="P7" s="410"/>
    </row>
    <row r="8" spans="1:17" ht="54" customHeight="1">
      <c r="A8" s="739"/>
      <c r="B8" s="739"/>
      <c r="C8" s="739"/>
      <c r="D8" s="742"/>
      <c r="E8" s="742"/>
      <c r="F8" s="742"/>
      <c r="G8" s="842"/>
      <c r="H8" s="833"/>
      <c r="I8" s="833"/>
      <c r="J8" s="833"/>
      <c r="K8" s="834"/>
      <c r="L8" s="834"/>
      <c r="M8" s="837"/>
      <c r="N8" s="834"/>
      <c r="P8" s="410"/>
      <c r="Q8" s="409" t="s">
        <v>571</v>
      </c>
    </row>
    <row r="9" spans="1:16" ht="17.25" customHeight="1">
      <c r="A9" s="10" t="s">
        <v>9</v>
      </c>
      <c r="B9" s="10" t="s">
        <v>10</v>
      </c>
      <c r="C9" s="10" t="s">
        <v>11</v>
      </c>
      <c r="D9" s="20">
        <v>1</v>
      </c>
      <c r="E9" s="20">
        <v>1</v>
      </c>
      <c r="F9" s="20">
        <v>2</v>
      </c>
      <c r="G9" s="20">
        <v>3</v>
      </c>
      <c r="H9" s="20">
        <v>4</v>
      </c>
      <c r="I9" s="20">
        <v>5</v>
      </c>
      <c r="J9" s="20" t="s">
        <v>695</v>
      </c>
      <c r="K9" s="8" t="s">
        <v>699</v>
      </c>
      <c r="L9" s="8" t="s">
        <v>700</v>
      </c>
      <c r="M9" s="20">
        <v>8</v>
      </c>
      <c r="N9" s="9">
        <v>9</v>
      </c>
      <c r="P9" s="410"/>
    </row>
    <row r="10" spans="1:48" s="50" customFormat="1" ht="19.5" customHeight="1">
      <c r="A10" s="51" t="s">
        <v>9</v>
      </c>
      <c r="B10" s="52" t="s">
        <v>12</v>
      </c>
      <c r="C10" s="53" t="s"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411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410"/>
    </row>
    <row r="11" spans="1:48" s="50" customFormat="1" ht="19.5" customHeight="1">
      <c r="A11" s="113" t="s">
        <v>14</v>
      </c>
      <c r="B11" s="114" t="s">
        <v>15</v>
      </c>
      <c r="C11" s="113" t="s">
        <v>16</v>
      </c>
      <c r="D11" s="56">
        <f>D12+D30+D31+D32+D41</f>
        <v>21415.73</v>
      </c>
      <c r="E11" s="56">
        <f>E12+E30+E31+E32+E41</f>
        <v>21419.1</v>
      </c>
      <c r="F11" s="434">
        <f>F12+F30+F31+F32+F41</f>
        <v>19698.989999999998</v>
      </c>
      <c r="G11" s="56">
        <f>G12+G30+G31+G32+G41</f>
        <v>19738.77</v>
      </c>
      <c r="H11" s="56"/>
      <c r="I11" s="185">
        <f>I12+I30+I31+I32+I41</f>
        <v>21406.09</v>
      </c>
      <c r="J11" s="56">
        <f>F11/G11*100</f>
        <v>99.79846768567646</v>
      </c>
      <c r="K11" s="55"/>
      <c r="L11" s="55">
        <f>F11/I11*100</f>
        <v>92.02516666985889</v>
      </c>
      <c r="M11" s="185"/>
      <c r="N11" s="448">
        <f>N12+N30+N31+N32+N41</f>
        <v>20185.499999999996</v>
      </c>
      <c r="O11" s="411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0"/>
      <c r="AO11" s="410"/>
      <c r="AP11" s="410"/>
      <c r="AQ11" s="410"/>
      <c r="AR11" s="410"/>
      <c r="AS11" s="410"/>
      <c r="AT11" s="410"/>
      <c r="AU11" s="410"/>
      <c r="AV11" s="410"/>
    </row>
    <row r="12" spans="1:48" s="66" customFormat="1" ht="15.75">
      <c r="A12" s="53">
        <v>1</v>
      </c>
      <c r="B12" s="12" t="s">
        <v>17</v>
      </c>
      <c r="C12" s="53" t="s">
        <v>16</v>
      </c>
      <c r="D12" s="56">
        <f>D18+D21+D24+D27</f>
        <v>14507.41</v>
      </c>
      <c r="E12" s="56">
        <f>E18+E21+E24+E27</f>
        <v>14564.93</v>
      </c>
      <c r="F12" s="434">
        <f>F18+F21+F24+F27</f>
        <v>13722.91</v>
      </c>
      <c r="G12" s="56">
        <f>G18+G21+G24+G27</f>
        <v>13756.949999999999</v>
      </c>
      <c r="H12" s="56">
        <f>H18+H21+H24+H27+0.1</f>
        <v>14462.800000000001</v>
      </c>
      <c r="I12" s="185">
        <f>I18+I21+I24+I27</f>
        <v>14467.92</v>
      </c>
      <c r="J12" s="56">
        <f aca="true" t="shared" si="0" ref="J12:J72">F12/G12*100</f>
        <v>99.752561432585</v>
      </c>
      <c r="K12" s="55">
        <f>F12/H12*100</f>
        <v>94.88418563487015</v>
      </c>
      <c r="L12" s="55">
        <f>F12/I12*100</f>
        <v>94.850607412814</v>
      </c>
      <c r="M12" s="185"/>
      <c r="N12" s="434">
        <f>N18+N21+N24+N27</f>
        <v>14529.21</v>
      </c>
      <c r="O12" s="412">
        <v>14463</v>
      </c>
      <c r="P12" s="413"/>
      <c r="Q12" s="412">
        <v>14463</v>
      </c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3"/>
      <c r="AT12" s="413"/>
      <c r="AU12" s="413"/>
      <c r="AV12" s="413"/>
    </row>
    <row r="13" spans="1:48" s="480" customFormat="1" ht="15.75">
      <c r="A13" s="469"/>
      <c r="B13" s="470" t="s">
        <v>18</v>
      </c>
      <c r="C13" s="469" t="s">
        <v>19</v>
      </c>
      <c r="D13" s="471">
        <f aca="true" t="shared" si="1" ref="D13:I13">D20+D23+D26+D29</f>
        <v>81805.93086000001</v>
      </c>
      <c r="E13" s="471">
        <f t="shared" si="1"/>
        <v>82813.18946400001</v>
      </c>
      <c r="F13" s="472">
        <f t="shared" si="1"/>
        <v>40090.96</v>
      </c>
      <c r="G13" s="471">
        <f t="shared" si="1"/>
        <v>41276.24042</v>
      </c>
      <c r="H13" s="471">
        <f t="shared" si="1"/>
        <v>80998.56</v>
      </c>
      <c r="I13" s="473">
        <f t="shared" si="1"/>
        <v>81040.04000000001</v>
      </c>
      <c r="J13" s="471">
        <f t="shared" si="0"/>
        <v>97.12841962363974</v>
      </c>
      <c r="K13" s="474">
        <f>F13/H13*100</f>
        <v>49.495892272652746</v>
      </c>
      <c r="L13" s="474">
        <f>F13/I13*100</f>
        <v>49.4705580105834</v>
      </c>
      <c r="M13" s="473"/>
      <c r="N13" s="472">
        <f>N20+N23+N26+N29</f>
        <v>81102.343</v>
      </c>
      <c r="O13" s="475">
        <v>80231</v>
      </c>
      <c r="P13" s="476"/>
      <c r="Q13" s="477">
        <v>80999.7</v>
      </c>
      <c r="R13" s="478">
        <f>J13-D13</f>
        <v>-81708.80244037637</v>
      </c>
      <c r="S13" s="479">
        <f>D18+D21+D24</f>
        <v>11399.41</v>
      </c>
      <c r="T13" s="476"/>
      <c r="U13" s="476">
        <f>40510/I13*100</f>
        <v>49.98763574154207</v>
      </c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476"/>
      <c r="AT13" s="476"/>
      <c r="AU13" s="476"/>
      <c r="AV13" s="476"/>
    </row>
    <row r="14" spans="1:48" s="492" customFormat="1" ht="15.75">
      <c r="A14" s="483"/>
      <c r="B14" s="484" t="s">
        <v>20</v>
      </c>
      <c r="C14" s="483" t="s">
        <v>19</v>
      </c>
      <c r="D14" s="485">
        <f>D20+D23+D26</f>
        <v>62738.350860000006</v>
      </c>
      <c r="E14" s="485">
        <f>E20+E23+E26</f>
        <v>63461.38916400001</v>
      </c>
      <c r="F14" s="486">
        <f>F20+F23+F26</f>
        <v>26328.16</v>
      </c>
      <c r="G14" s="485">
        <f>G20+G23+G26</f>
        <v>26936.780420000003</v>
      </c>
      <c r="H14" s="487">
        <v>62127</v>
      </c>
      <c r="I14" s="488">
        <f>I20+I23+I26</f>
        <v>62439.44</v>
      </c>
      <c r="J14" s="485">
        <f t="shared" si="0"/>
        <v>97.74055989427707</v>
      </c>
      <c r="K14" s="489">
        <f>F14/H14*100</f>
        <v>42.37796771130105</v>
      </c>
      <c r="L14" s="489">
        <f>F14/I14*100</f>
        <v>42.165913083141035</v>
      </c>
      <c r="M14" s="488"/>
      <c r="N14" s="486">
        <f>N20+N23+N26</f>
        <v>62501.743</v>
      </c>
      <c r="O14" s="490">
        <v>61360</v>
      </c>
      <c r="P14" s="491"/>
      <c r="Q14" s="490">
        <v>62128.5</v>
      </c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C14" s="491"/>
      <c r="AD14" s="491"/>
      <c r="AE14" s="491"/>
      <c r="AF14" s="491"/>
      <c r="AG14" s="491"/>
      <c r="AH14" s="491"/>
      <c r="AI14" s="491"/>
      <c r="AJ14" s="491"/>
      <c r="AK14" s="491"/>
      <c r="AL14" s="491"/>
      <c r="AM14" s="491"/>
      <c r="AN14" s="491"/>
      <c r="AO14" s="491"/>
      <c r="AP14" s="491"/>
      <c r="AQ14" s="491"/>
      <c r="AR14" s="491"/>
      <c r="AS14" s="491"/>
      <c r="AT14" s="491"/>
      <c r="AU14" s="491"/>
      <c r="AV14" s="491"/>
    </row>
    <row r="15" spans="1:48" s="492" customFormat="1" ht="15.75">
      <c r="A15" s="483"/>
      <c r="B15" s="484" t="s">
        <v>21</v>
      </c>
      <c r="C15" s="483" t="str">
        <f>C14</f>
        <v>Tấn</v>
      </c>
      <c r="D15" s="485">
        <f>D20+D23</f>
        <v>59685.822360000006</v>
      </c>
      <c r="E15" s="485">
        <f>E20+E23</f>
        <v>60453.358164000005</v>
      </c>
      <c r="F15" s="486">
        <f>F20+F23</f>
        <v>26328.16</v>
      </c>
      <c r="G15" s="485">
        <f>G20+G23</f>
        <v>26936.780420000003</v>
      </c>
      <c r="H15" s="493">
        <v>59280</v>
      </c>
      <c r="I15" s="488">
        <f>I20+I23</f>
        <v>59591.600000000006</v>
      </c>
      <c r="J15" s="485">
        <f t="shared" si="0"/>
        <v>97.74055989427707</v>
      </c>
      <c r="K15" s="489">
        <f>F15/H15*100</f>
        <v>44.413225371120106</v>
      </c>
      <c r="L15" s="489">
        <f aca="true" t="shared" si="2" ref="L15:L77">F15/I15*100</f>
        <v>44.18099195188584</v>
      </c>
      <c r="M15" s="488"/>
      <c r="N15" s="486">
        <f>N20+N23</f>
        <v>59653.903</v>
      </c>
      <c r="O15" s="490">
        <v>58513</v>
      </c>
      <c r="P15" s="491"/>
      <c r="Q15" s="490">
        <v>59280.5</v>
      </c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1"/>
      <c r="AC15" s="491"/>
      <c r="AD15" s="491"/>
      <c r="AE15" s="491"/>
      <c r="AF15" s="491"/>
      <c r="AG15" s="491"/>
      <c r="AH15" s="491"/>
      <c r="AI15" s="491"/>
      <c r="AJ15" s="491"/>
      <c r="AK15" s="491"/>
      <c r="AL15" s="491"/>
      <c r="AM15" s="491"/>
      <c r="AN15" s="491"/>
      <c r="AO15" s="491"/>
      <c r="AP15" s="491"/>
      <c r="AQ15" s="491"/>
      <c r="AR15" s="491"/>
      <c r="AS15" s="491"/>
      <c r="AT15" s="491"/>
      <c r="AU15" s="491"/>
      <c r="AV15" s="491"/>
    </row>
    <row r="16" spans="1:48" s="492" customFormat="1" ht="15.75">
      <c r="A16" s="483"/>
      <c r="B16" s="484" t="s">
        <v>22</v>
      </c>
      <c r="C16" s="483" t="s">
        <v>23</v>
      </c>
      <c r="D16" s="485">
        <v>72.96</v>
      </c>
      <c r="E16" s="485">
        <f>E15/E13*100</f>
        <v>72.99967379022382</v>
      </c>
      <c r="F16" s="486">
        <f>F15/F13*100</f>
        <v>65.67106400046295</v>
      </c>
      <c r="G16" s="485">
        <v>72.96</v>
      </c>
      <c r="H16" s="487">
        <v>73.2</v>
      </c>
      <c r="I16" s="488">
        <v>73.53</v>
      </c>
      <c r="J16" s="485">
        <f t="shared" si="0"/>
        <v>90.0096820181784</v>
      </c>
      <c r="K16" s="489">
        <f>F16/H16*100</f>
        <v>89.71456830664337</v>
      </c>
      <c r="L16" s="489">
        <f t="shared" si="2"/>
        <v>89.31193254516924</v>
      </c>
      <c r="M16" s="488"/>
      <c r="N16" s="486">
        <f>N15/N13*100</f>
        <v>73.55385898037497</v>
      </c>
      <c r="O16" s="494">
        <v>72.93</v>
      </c>
      <c r="P16" s="491"/>
      <c r="Q16" s="490">
        <v>73.2</v>
      </c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1"/>
      <c r="AI16" s="491"/>
      <c r="AJ16" s="491"/>
      <c r="AK16" s="491"/>
      <c r="AL16" s="491"/>
      <c r="AM16" s="491"/>
      <c r="AN16" s="491"/>
      <c r="AO16" s="491"/>
      <c r="AP16" s="491"/>
      <c r="AQ16" s="491"/>
      <c r="AR16" s="491"/>
      <c r="AS16" s="491"/>
      <c r="AT16" s="491"/>
      <c r="AU16" s="491"/>
      <c r="AV16" s="491"/>
    </row>
    <row r="17" spans="1:48" s="492" customFormat="1" ht="15.75">
      <c r="A17" s="483"/>
      <c r="B17" s="484" t="s">
        <v>608</v>
      </c>
      <c r="C17" s="483" t="s">
        <v>16</v>
      </c>
      <c r="D17" s="485">
        <f>(232.2+45+138.9)+(362.1+75)</f>
        <v>853.2</v>
      </c>
      <c r="E17" s="485">
        <v>751.79</v>
      </c>
      <c r="F17" s="486">
        <v>161.9</v>
      </c>
      <c r="G17" s="485">
        <v>325.79</v>
      </c>
      <c r="H17" s="487"/>
      <c r="I17" s="495">
        <v>1000</v>
      </c>
      <c r="J17" s="485">
        <f t="shared" si="0"/>
        <v>49.694588538629176</v>
      </c>
      <c r="K17" s="489"/>
      <c r="L17" s="489">
        <f t="shared" si="2"/>
        <v>16.19</v>
      </c>
      <c r="M17" s="495"/>
      <c r="N17" s="496">
        <v>500</v>
      </c>
      <c r="O17" s="490"/>
      <c r="P17" s="491"/>
      <c r="Q17" s="490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491"/>
      <c r="AG17" s="491"/>
      <c r="AH17" s="491"/>
      <c r="AI17" s="491"/>
      <c r="AJ17" s="491"/>
      <c r="AK17" s="491"/>
      <c r="AL17" s="491"/>
      <c r="AM17" s="491"/>
      <c r="AN17" s="491"/>
      <c r="AO17" s="491"/>
      <c r="AP17" s="491"/>
      <c r="AQ17" s="491"/>
      <c r="AR17" s="491"/>
      <c r="AS17" s="491"/>
      <c r="AT17" s="491"/>
      <c r="AU17" s="491"/>
      <c r="AV17" s="491"/>
    </row>
    <row r="18" spans="1:48" s="510" customFormat="1" ht="15.75">
      <c r="A18" s="500"/>
      <c r="B18" s="501" t="s">
        <v>24</v>
      </c>
      <c r="C18" s="500" t="s">
        <v>16</v>
      </c>
      <c r="D18" s="502">
        <v>4200.41</v>
      </c>
      <c r="E18" s="502">
        <v>4200.34</v>
      </c>
      <c r="F18" s="503">
        <v>4230.39</v>
      </c>
      <c r="G18" s="502">
        <v>4200.34</v>
      </c>
      <c r="H18" s="504">
        <v>4151.1</v>
      </c>
      <c r="I18" s="505">
        <v>4169.1</v>
      </c>
      <c r="J18" s="512">
        <f t="shared" si="0"/>
        <v>100.7154182756634</v>
      </c>
      <c r="K18" s="513">
        <f>F18/H18*100</f>
        <v>101.91009611910096</v>
      </c>
      <c r="L18" s="513">
        <f t="shared" si="2"/>
        <v>101.47010146074693</v>
      </c>
      <c r="M18" s="505"/>
      <c r="N18" s="506">
        <f>F18</f>
        <v>4230.39</v>
      </c>
      <c r="O18" s="507">
        <v>4151</v>
      </c>
      <c r="P18" s="508"/>
      <c r="Q18" s="507">
        <v>4151.1</v>
      </c>
      <c r="R18" s="509">
        <f>D18+D21+D24</f>
        <v>11399.41</v>
      </c>
      <c r="S18" s="509">
        <f>H18+H21+H24</f>
        <v>11317.5</v>
      </c>
      <c r="T18" s="509">
        <f>I18+I21+I24</f>
        <v>11367.82</v>
      </c>
      <c r="U18" s="509" t="e">
        <f>#REF!+#REF!+#REF!</f>
        <v>#REF!</v>
      </c>
      <c r="V18" s="509">
        <f>J18+J21+J24</f>
        <v>301.3098342554659</v>
      </c>
      <c r="W18" s="509" t="e">
        <f>#REF!+#REF!+#REF!</f>
        <v>#REF!</v>
      </c>
      <c r="X18" s="509">
        <f>K18+K21+K24</f>
        <v>302.5101146840318</v>
      </c>
      <c r="Y18" s="509">
        <f>M18+M21+M24</f>
        <v>0</v>
      </c>
      <c r="Z18" s="509">
        <f aca="true" t="shared" si="3" ref="Z18:AE18">N18+N21+N24</f>
        <v>11429.109999999999</v>
      </c>
      <c r="AA18" s="509">
        <f t="shared" si="3"/>
        <v>11317.630000000001</v>
      </c>
      <c r="AB18" s="509">
        <f t="shared" si="3"/>
        <v>0</v>
      </c>
      <c r="AC18" s="509">
        <f t="shared" si="3"/>
        <v>11317.800000000001</v>
      </c>
      <c r="AD18" s="509">
        <f t="shared" si="3"/>
        <v>11399.41</v>
      </c>
      <c r="AE18" s="509">
        <f t="shared" si="3"/>
        <v>11317.5</v>
      </c>
      <c r="AF18" s="508"/>
      <c r="AG18" s="508"/>
      <c r="AH18" s="508"/>
      <c r="AI18" s="508"/>
      <c r="AJ18" s="508"/>
      <c r="AK18" s="508"/>
      <c r="AL18" s="508"/>
      <c r="AM18" s="508"/>
      <c r="AN18" s="508"/>
      <c r="AO18" s="508"/>
      <c r="AP18" s="508"/>
      <c r="AQ18" s="508"/>
      <c r="AR18" s="508"/>
      <c r="AS18" s="508"/>
      <c r="AT18" s="508"/>
      <c r="AU18" s="508"/>
      <c r="AV18" s="508"/>
    </row>
    <row r="19" spans="1:48" s="492" customFormat="1" ht="15.75">
      <c r="A19" s="483"/>
      <c r="B19" s="515" t="s">
        <v>25</v>
      </c>
      <c r="C19" s="483" t="s">
        <v>26</v>
      </c>
      <c r="D19" s="497">
        <v>63.36</v>
      </c>
      <c r="E19" s="497">
        <v>64.13</v>
      </c>
      <c r="F19" s="516">
        <f>F20/F18*10</f>
        <v>62.235774952191164</v>
      </c>
      <c r="G19" s="497">
        <v>64.13</v>
      </c>
      <c r="H19" s="487">
        <v>63</v>
      </c>
      <c r="I19" s="498">
        <v>63</v>
      </c>
      <c r="J19" s="485">
        <f t="shared" si="0"/>
        <v>97.04627312052264</v>
      </c>
      <c r="K19" s="489">
        <f>F19/H19*100</f>
        <v>98.7869443685574</v>
      </c>
      <c r="L19" s="489">
        <f t="shared" si="2"/>
        <v>98.7869443685574</v>
      </c>
      <c r="M19" s="498"/>
      <c r="N19" s="517">
        <f>F19</f>
        <v>62.235774952191164</v>
      </c>
      <c r="O19" s="490">
        <v>61.8</v>
      </c>
      <c r="P19" s="499">
        <f>J18+J21</f>
        <v>201.3098342554659</v>
      </c>
      <c r="Q19" s="490">
        <v>63</v>
      </c>
      <c r="R19" s="491"/>
      <c r="S19" s="491"/>
      <c r="T19" s="491"/>
      <c r="U19" s="491"/>
      <c r="V19" s="491"/>
      <c r="W19" s="491"/>
      <c r="X19" s="491"/>
      <c r="Y19" s="491"/>
      <c r="Z19" s="491"/>
      <c r="AA19" s="491"/>
      <c r="AB19" s="491"/>
      <c r="AC19" s="491"/>
      <c r="AD19" s="491"/>
      <c r="AE19" s="491"/>
      <c r="AF19" s="491"/>
      <c r="AG19" s="491"/>
      <c r="AH19" s="491"/>
      <c r="AI19" s="491"/>
      <c r="AJ19" s="491"/>
      <c r="AK19" s="491"/>
      <c r="AL19" s="491"/>
      <c r="AM19" s="491"/>
      <c r="AN19" s="491"/>
      <c r="AO19" s="491"/>
      <c r="AP19" s="491"/>
      <c r="AQ19" s="491"/>
      <c r="AR19" s="491"/>
      <c r="AS19" s="491"/>
      <c r="AT19" s="491"/>
      <c r="AU19" s="491"/>
      <c r="AV19" s="491"/>
    </row>
    <row r="20" spans="1:48" s="492" customFormat="1" ht="15.75">
      <c r="A20" s="483"/>
      <c r="B20" s="515" t="s">
        <v>27</v>
      </c>
      <c r="C20" s="483" t="str">
        <f>C14</f>
        <v>Tấn</v>
      </c>
      <c r="D20" s="485">
        <f>D19*D18/10</f>
        <v>26613.797759999998</v>
      </c>
      <c r="E20" s="485">
        <f>E19*E18/10</f>
        <v>26936.780420000003</v>
      </c>
      <c r="F20" s="486">
        <v>26328.16</v>
      </c>
      <c r="G20" s="485">
        <f>G19*G18/10</f>
        <v>26936.780420000003</v>
      </c>
      <c r="H20" s="518">
        <v>26151.93</v>
      </c>
      <c r="I20" s="498">
        <f>I19*I18/10</f>
        <v>26265.330000000005</v>
      </c>
      <c r="J20" s="485">
        <f t="shared" si="0"/>
        <v>97.74055989427707</v>
      </c>
      <c r="K20" s="489">
        <f>F20/H20*100</f>
        <v>100.67386995911964</v>
      </c>
      <c r="L20" s="489">
        <f t="shared" si="2"/>
        <v>100.2392126807468</v>
      </c>
      <c r="M20" s="498"/>
      <c r="N20" s="519">
        <f>N19*N18/10</f>
        <v>26328.159999999996</v>
      </c>
      <c r="O20" s="490">
        <v>25653.2</v>
      </c>
      <c r="P20" s="491"/>
      <c r="Q20" s="490">
        <v>26151.9</v>
      </c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C20" s="491"/>
      <c r="AD20" s="491"/>
      <c r="AE20" s="491"/>
      <c r="AF20" s="491"/>
      <c r="AG20" s="491"/>
      <c r="AH20" s="491"/>
      <c r="AI20" s="491"/>
      <c r="AJ20" s="491"/>
      <c r="AK20" s="491"/>
      <c r="AL20" s="491"/>
      <c r="AM20" s="491"/>
      <c r="AN20" s="491"/>
      <c r="AO20" s="491"/>
      <c r="AP20" s="491"/>
      <c r="AQ20" s="491"/>
      <c r="AR20" s="491"/>
      <c r="AS20" s="491"/>
      <c r="AT20" s="491"/>
      <c r="AU20" s="491"/>
      <c r="AV20" s="491"/>
    </row>
    <row r="21" spans="1:48" s="510" customFormat="1" ht="15.75">
      <c r="A21" s="500"/>
      <c r="B21" s="501" t="s">
        <v>28</v>
      </c>
      <c r="C21" s="500" t="s">
        <v>16</v>
      </c>
      <c r="D21" s="520">
        <v>5419.1</v>
      </c>
      <c r="E21" s="520">
        <v>5439.59</v>
      </c>
      <c r="F21" s="521">
        <f>I21</f>
        <v>5418.82</v>
      </c>
      <c r="G21" s="520">
        <v>5386.8</v>
      </c>
      <c r="H21" s="522">
        <v>5386.5</v>
      </c>
      <c r="I21" s="523">
        <v>5418.82</v>
      </c>
      <c r="J21" s="512">
        <f t="shared" si="0"/>
        <v>100.59441597980248</v>
      </c>
      <c r="K21" s="513">
        <f>F21/H21*100</f>
        <v>100.60001856493083</v>
      </c>
      <c r="L21" s="513">
        <f t="shared" si="2"/>
        <v>100</v>
      </c>
      <c r="M21" s="523"/>
      <c r="N21" s="524">
        <f>I21</f>
        <v>5418.82</v>
      </c>
      <c r="O21" s="525">
        <v>5386.77</v>
      </c>
      <c r="P21" s="508"/>
      <c r="Q21" s="507">
        <v>5386.8</v>
      </c>
      <c r="R21" s="508"/>
      <c r="S21" s="508"/>
      <c r="T21" s="508"/>
      <c r="U21" s="508"/>
      <c r="V21" s="508"/>
      <c r="W21" s="508"/>
      <c r="X21" s="508"/>
      <c r="Y21" s="508"/>
      <c r="Z21" s="508"/>
      <c r="AA21" s="508"/>
      <c r="AB21" s="508"/>
      <c r="AC21" s="508"/>
      <c r="AD21" s="508"/>
      <c r="AE21" s="508"/>
      <c r="AF21" s="508"/>
      <c r="AG21" s="508"/>
      <c r="AH21" s="508"/>
      <c r="AI21" s="508"/>
      <c r="AJ21" s="508"/>
      <c r="AK21" s="508"/>
      <c r="AL21" s="508"/>
      <c r="AM21" s="508"/>
      <c r="AN21" s="508"/>
      <c r="AO21" s="508"/>
      <c r="AP21" s="508"/>
      <c r="AQ21" s="508"/>
      <c r="AR21" s="508"/>
      <c r="AS21" s="508"/>
      <c r="AT21" s="508"/>
      <c r="AU21" s="508"/>
      <c r="AV21" s="508"/>
    </row>
    <row r="22" spans="1:48" s="50" customFormat="1" ht="15.75">
      <c r="A22" s="47"/>
      <c r="B22" s="58" t="s">
        <v>25</v>
      </c>
      <c r="C22" s="47" t="str">
        <f>C19</f>
        <v>Tạ/ha</v>
      </c>
      <c r="D22" s="59">
        <v>61.06</v>
      </c>
      <c r="E22" s="138">
        <v>61.616</v>
      </c>
      <c r="F22" s="436"/>
      <c r="G22" s="138"/>
      <c r="H22" s="394">
        <v>61.5</v>
      </c>
      <c r="I22" s="186">
        <v>61.5</v>
      </c>
      <c r="J22" s="485"/>
      <c r="K22" s="489"/>
      <c r="L22" s="489"/>
      <c r="M22" s="186"/>
      <c r="N22" s="435">
        <f>I22</f>
        <v>61.5</v>
      </c>
      <c r="O22" s="411">
        <v>61</v>
      </c>
      <c r="P22" s="410"/>
      <c r="Q22" s="411">
        <v>61.5</v>
      </c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</row>
    <row r="23" spans="1:48" s="50" customFormat="1" ht="15.75">
      <c r="A23" s="47"/>
      <c r="B23" s="58" t="s">
        <v>27</v>
      </c>
      <c r="C23" s="47" t="str">
        <f>C14</f>
        <v>Tấn</v>
      </c>
      <c r="D23" s="48">
        <f>(D22*D21/10)-17</f>
        <v>33072.024600000004</v>
      </c>
      <c r="E23" s="48">
        <f>(E22*E21/10)</f>
        <v>33516.577744</v>
      </c>
      <c r="F23" s="435"/>
      <c r="G23" s="48"/>
      <c r="H23" s="393">
        <v>33127.59</v>
      </c>
      <c r="I23" s="186">
        <v>33326.27</v>
      </c>
      <c r="J23" s="485"/>
      <c r="K23" s="489"/>
      <c r="L23" s="489"/>
      <c r="M23" s="186"/>
      <c r="N23" s="450">
        <f>N22*N21/10</f>
        <v>33325.743</v>
      </c>
      <c r="O23" s="411">
        <v>32859.3</v>
      </c>
      <c r="P23" s="410"/>
      <c r="Q23" s="411">
        <v>33128.8</v>
      </c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</row>
    <row r="24" spans="1:48" s="510" customFormat="1" ht="15.75">
      <c r="A24" s="500"/>
      <c r="B24" s="501" t="s">
        <v>29</v>
      </c>
      <c r="C24" s="500" t="s">
        <v>16</v>
      </c>
      <c r="D24" s="520">
        <v>1779.9</v>
      </c>
      <c r="E24" s="520">
        <f>D24</f>
        <v>1779.9</v>
      </c>
      <c r="F24" s="521">
        <f>E24</f>
        <v>1779.9</v>
      </c>
      <c r="G24" s="520">
        <v>1779.9</v>
      </c>
      <c r="H24" s="504">
        <v>1779.9</v>
      </c>
      <c r="I24" s="523">
        <v>1779.9</v>
      </c>
      <c r="J24" s="512">
        <f t="shared" si="0"/>
        <v>100</v>
      </c>
      <c r="K24" s="513">
        <f>F24/H24*100</f>
        <v>100</v>
      </c>
      <c r="L24" s="513">
        <f t="shared" si="2"/>
        <v>100</v>
      </c>
      <c r="M24" s="523"/>
      <c r="N24" s="524">
        <f>F24</f>
        <v>1779.9</v>
      </c>
      <c r="O24" s="507">
        <v>1779.86</v>
      </c>
      <c r="P24" s="508"/>
      <c r="Q24" s="507">
        <v>1779.9</v>
      </c>
      <c r="R24" s="508"/>
      <c r="S24" s="508"/>
      <c r="T24" s="508"/>
      <c r="U24" s="508"/>
      <c r="V24" s="508"/>
      <c r="W24" s="508"/>
      <c r="X24" s="508"/>
      <c r="Y24" s="508"/>
      <c r="Z24" s="508"/>
      <c r="AA24" s="508"/>
      <c r="AB24" s="508"/>
      <c r="AC24" s="508"/>
      <c r="AD24" s="508"/>
      <c r="AE24" s="508"/>
      <c r="AF24" s="508"/>
      <c r="AG24" s="508"/>
      <c r="AH24" s="508"/>
      <c r="AI24" s="508"/>
      <c r="AJ24" s="508"/>
      <c r="AK24" s="508"/>
      <c r="AL24" s="508"/>
      <c r="AM24" s="508"/>
      <c r="AN24" s="508"/>
      <c r="AO24" s="508"/>
      <c r="AP24" s="508"/>
      <c r="AQ24" s="508"/>
      <c r="AR24" s="508"/>
      <c r="AS24" s="508"/>
      <c r="AT24" s="508"/>
      <c r="AU24" s="508"/>
      <c r="AV24" s="508"/>
    </row>
    <row r="25" spans="1:48" s="50" customFormat="1" ht="15.75">
      <c r="A25" s="47"/>
      <c r="B25" s="58" t="s">
        <v>25</v>
      </c>
      <c r="C25" s="47" t="str">
        <f>C19</f>
        <v>Tạ/ha</v>
      </c>
      <c r="D25" s="70">
        <v>17.15</v>
      </c>
      <c r="E25" s="70">
        <v>16.9</v>
      </c>
      <c r="F25" s="437"/>
      <c r="G25" s="70"/>
      <c r="H25" s="394">
        <v>16</v>
      </c>
      <c r="I25" s="186">
        <v>16</v>
      </c>
      <c r="J25" s="485"/>
      <c r="K25" s="489"/>
      <c r="L25" s="489"/>
      <c r="M25" s="186"/>
      <c r="N25" s="451">
        <f>H25</f>
        <v>16</v>
      </c>
      <c r="O25" s="411">
        <v>16</v>
      </c>
      <c r="P25" s="410"/>
      <c r="Q25" s="411">
        <v>16</v>
      </c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10"/>
      <c r="AK25" s="410"/>
      <c r="AL25" s="410"/>
      <c r="AM25" s="410"/>
      <c r="AN25" s="410"/>
      <c r="AO25" s="410"/>
      <c r="AP25" s="410"/>
      <c r="AQ25" s="410"/>
      <c r="AR25" s="410"/>
      <c r="AS25" s="410"/>
      <c r="AT25" s="410"/>
      <c r="AU25" s="410"/>
      <c r="AV25" s="410"/>
    </row>
    <row r="26" spans="1:48" s="50" customFormat="1" ht="15.75">
      <c r="A26" s="47"/>
      <c r="B26" s="58" t="s">
        <v>27</v>
      </c>
      <c r="C26" s="47" t="str">
        <f>C14</f>
        <v>Tấn</v>
      </c>
      <c r="D26" s="48">
        <f>D25*D24/10</f>
        <v>3052.5285</v>
      </c>
      <c r="E26" s="48">
        <f>E25*E24/10</f>
        <v>3008.031</v>
      </c>
      <c r="F26" s="435"/>
      <c r="G26" s="48"/>
      <c r="H26" s="393">
        <v>2847.84</v>
      </c>
      <c r="I26" s="186">
        <f>I25*I24/10</f>
        <v>2847.84</v>
      </c>
      <c r="J26" s="485"/>
      <c r="K26" s="489"/>
      <c r="L26" s="489"/>
      <c r="M26" s="186"/>
      <c r="N26" s="435">
        <f>N25*N24/10</f>
        <v>2847.84</v>
      </c>
      <c r="O26" s="411">
        <v>2847.78</v>
      </c>
      <c r="P26" s="410"/>
      <c r="Q26" s="411">
        <v>2847.8</v>
      </c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/>
      <c r="AH26" s="410"/>
      <c r="AI26" s="410"/>
      <c r="AJ26" s="410"/>
      <c r="AK26" s="410"/>
      <c r="AL26" s="410"/>
      <c r="AM26" s="410"/>
      <c r="AN26" s="410"/>
      <c r="AO26" s="410"/>
      <c r="AP26" s="410"/>
      <c r="AQ26" s="410"/>
      <c r="AR26" s="410"/>
      <c r="AS26" s="410"/>
      <c r="AT26" s="410"/>
      <c r="AU26" s="410"/>
      <c r="AV26" s="410"/>
    </row>
    <row r="27" spans="1:48" s="510" customFormat="1" ht="15.75">
      <c r="A27" s="500"/>
      <c r="B27" s="501" t="s">
        <v>30</v>
      </c>
      <c r="C27" s="500" t="s">
        <v>16</v>
      </c>
      <c r="D27" s="527">
        <v>3108</v>
      </c>
      <c r="E27" s="528">
        <f>3145.1</f>
        <v>3145.1</v>
      </c>
      <c r="F27" s="529">
        <v>2293.8</v>
      </c>
      <c r="G27" s="528">
        <v>2389.91</v>
      </c>
      <c r="H27" s="504">
        <v>3145.2</v>
      </c>
      <c r="I27" s="523">
        <v>3100.1</v>
      </c>
      <c r="J27" s="512">
        <f t="shared" si="0"/>
        <v>95.97850965099106</v>
      </c>
      <c r="K27" s="513">
        <f>F27/H27*100</f>
        <v>72.9301793208699</v>
      </c>
      <c r="L27" s="513">
        <f t="shared" si="2"/>
        <v>73.99116157543307</v>
      </c>
      <c r="M27" s="523"/>
      <c r="N27" s="524">
        <f>I27</f>
        <v>3100.1</v>
      </c>
      <c r="O27" s="507">
        <v>3145.2</v>
      </c>
      <c r="P27" s="508"/>
      <c r="Q27" s="507">
        <v>3145.2</v>
      </c>
      <c r="R27" s="508"/>
      <c r="S27" s="508">
        <f>160/I27*100</f>
        <v>5.161123834715009</v>
      </c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08"/>
      <c r="AG27" s="508"/>
      <c r="AH27" s="508"/>
      <c r="AI27" s="508"/>
      <c r="AJ27" s="508"/>
      <c r="AK27" s="508"/>
      <c r="AL27" s="508"/>
      <c r="AM27" s="508"/>
      <c r="AN27" s="508"/>
      <c r="AO27" s="508"/>
      <c r="AP27" s="508"/>
      <c r="AQ27" s="508"/>
      <c r="AR27" s="508"/>
      <c r="AS27" s="508"/>
      <c r="AT27" s="508"/>
      <c r="AU27" s="508"/>
      <c r="AV27" s="508"/>
    </row>
    <row r="28" spans="1:48" s="50" customFormat="1" ht="15.75">
      <c r="A28" s="47"/>
      <c r="B28" s="58" t="s">
        <v>25</v>
      </c>
      <c r="C28" s="47" t="str">
        <f>C19</f>
        <v>Tạ/ha</v>
      </c>
      <c r="D28" s="59">
        <v>61.35</v>
      </c>
      <c r="E28" s="59">
        <v>61.53</v>
      </c>
      <c r="F28" s="438">
        <v>60</v>
      </c>
      <c r="G28" s="59">
        <v>60</v>
      </c>
      <c r="H28" s="394">
        <v>60</v>
      </c>
      <c r="I28" s="186">
        <v>60</v>
      </c>
      <c r="J28" s="485">
        <f t="shared" si="0"/>
        <v>100</v>
      </c>
      <c r="K28" s="489">
        <f>F28/H28*100</f>
        <v>100</v>
      </c>
      <c r="L28" s="489">
        <f t="shared" si="2"/>
        <v>100</v>
      </c>
      <c r="M28" s="186"/>
      <c r="N28" s="435">
        <v>60</v>
      </c>
      <c r="O28" s="411">
        <v>60</v>
      </c>
      <c r="P28" s="410"/>
      <c r="Q28" s="411">
        <v>60</v>
      </c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  <c r="AF28" s="410"/>
      <c r="AG28" s="410"/>
      <c r="AH28" s="410"/>
      <c r="AI28" s="410"/>
      <c r="AJ28" s="410"/>
      <c r="AK28" s="410"/>
      <c r="AL28" s="410"/>
      <c r="AM28" s="410"/>
      <c r="AN28" s="410"/>
      <c r="AO28" s="410"/>
      <c r="AP28" s="410"/>
      <c r="AQ28" s="410"/>
      <c r="AR28" s="410"/>
      <c r="AS28" s="410"/>
      <c r="AT28" s="410"/>
      <c r="AU28" s="410"/>
      <c r="AV28" s="410"/>
    </row>
    <row r="29" spans="1:48" s="50" customFormat="1" ht="15.75">
      <c r="A29" s="47"/>
      <c r="B29" s="58" t="s">
        <v>27</v>
      </c>
      <c r="C29" s="47" t="str">
        <f>C14</f>
        <v>Tấn</v>
      </c>
      <c r="D29" s="48">
        <f>D28*D27/10</f>
        <v>19067.58</v>
      </c>
      <c r="E29" s="48">
        <f>E28*E27/10</f>
        <v>19351.8003</v>
      </c>
      <c r="F29" s="435">
        <f>F28*F27/10</f>
        <v>13762.8</v>
      </c>
      <c r="G29" s="48">
        <f>G28*G27/10</f>
        <v>14339.459999999997</v>
      </c>
      <c r="H29" s="394">
        <v>18871.2</v>
      </c>
      <c r="I29" s="186">
        <f>I28*I27/10</f>
        <v>18600.6</v>
      </c>
      <c r="J29" s="485">
        <f t="shared" si="0"/>
        <v>95.97850965099106</v>
      </c>
      <c r="K29" s="489">
        <f>F29/H29*100</f>
        <v>72.9301793208699</v>
      </c>
      <c r="L29" s="489">
        <f t="shared" si="2"/>
        <v>73.99116157543305</v>
      </c>
      <c r="M29" s="186"/>
      <c r="N29" s="450">
        <f>N28*N27/10</f>
        <v>18600.6</v>
      </c>
      <c r="O29" s="411">
        <v>18871.2</v>
      </c>
      <c r="P29" s="410"/>
      <c r="Q29" s="411">
        <v>18871.2</v>
      </c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0"/>
      <c r="AJ29" s="410"/>
      <c r="AK29" s="410"/>
      <c r="AL29" s="410"/>
      <c r="AM29" s="410"/>
      <c r="AN29" s="410"/>
      <c r="AO29" s="410"/>
      <c r="AP29" s="410"/>
      <c r="AQ29" s="410"/>
      <c r="AR29" s="410"/>
      <c r="AS29" s="410"/>
      <c r="AT29" s="410"/>
      <c r="AU29" s="410"/>
      <c r="AV29" s="410"/>
    </row>
    <row r="30" spans="1:48" s="468" customFormat="1" ht="36" customHeight="1">
      <c r="A30" s="458">
        <v>2</v>
      </c>
      <c r="B30" s="459" t="s">
        <v>31</v>
      </c>
      <c r="C30" s="458" t="s">
        <v>16</v>
      </c>
      <c r="D30" s="530">
        <v>2405.6</v>
      </c>
      <c r="E30" s="530">
        <v>2422.19</v>
      </c>
      <c r="F30" s="531">
        <v>2501.19</v>
      </c>
      <c r="G30" s="530">
        <v>2379.19</v>
      </c>
      <c r="H30" s="532"/>
      <c r="I30" s="462">
        <v>2496.19</v>
      </c>
      <c r="J30" s="460">
        <f t="shared" si="0"/>
        <v>105.1277955942989</v>
      </c>
      <c r="K30" s="463"/>
      <c r="L30" s="463">
        <f t="shared" si="2"/>
        <v>100.20030526522422</v>
      </c>
      <c r="M30" s="462"/>
      <c r="N30" s="461">
        <f>I30</f>
        <v>2496.19</v>
      </c>
      <c r="O30" s="464"/>
      <c r="P30" s="465"/>
      <c r="Q30" s="465"/>
      <c r="R30" s="465"/>
      <c r="S30" s="467">
        <f>283.13/I30*100</f>
        <v>11.342485948585644</v>
      </c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5"/>
      <c r="AQ30" s="465"/>
      <c r="AR30" s="465"/>
      <c r="AS30" s="465"/>
      <c r="AT30" s="465"/>
      <c r="AU30" s="465"/>
      <c r="AV30" s="465"/>
    </row>
    <row r="31" spans="1:48" s="468" customFormat="1" ht="28.5">
      <c r="A31" s="458">
        <v>3</v>
      </c>
      <c r="B31" s="459" t="s">
        <v>679</v>
      </c>
      <c r="C31" s="458" t="s">
        <v>16</v>
      </c>
      <c r="D31" s="530">
        <v>2118.09</v>
      </c>
      <c r="E31" s="530">
        <f>D31</f>
        <v>2118.09</v>
      </c>
      <c r="F31" s="531">
        <v>1222.5</v>
      </c>
      <c r="G31" s="530">
        <v>1239</v>
      </c>
      <c r="H31" s="532"/>
      <c r="I31" s="462">
        <v>2179.59</v>
      </c>
      <c r="J31" s="460">
        <f t="shared" si="0"/>
        <v>98.6682808716707</v>
      </c>
      <c r="K31" s="463"/>
      <c r="L31" s="463">
        <f t="shared" si="2"/>
        <v>56.088530411682925</v>
      </c>
      <c r="M31" s="462"/>
      <c r="N31" s="461">
        <f>I31</f>
        <v>2179.59</v>
      </c>
      <c r="O31" s="464"/>
      <c r="P31" s="466">
        <f>E12+E30+E31</f>
        <v>19105.21</v>
      </c>
      <c r="Q31" s="465"/>
      <c r="R31" s="465"/>
      <c r="S31" s="465">
        <f>936/I31*100</f>
        <v>42.94385641336214</v>
      </c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465"/>
      <c r="AS31" s="465"/>
      <c r="AT31" s="465"/>
      <c r="AU31" s="465"/>
      <c r="AV31" s="465"/>
    </row>
    <row r="32" spans="1:48" s="468" customFormat="1" ht="15.75">
      <c r="A32" s="458">
        <v>4</v>
      </c>
      <c r="B32" s="459" t="s">
        <v>32</v>
      </c>
      <c r="C32" s="458" t="s">
        <v>16</v>
      </c>
      <c r="D32" s="530">
        <v>1169.13</v>
      </c>
      <c r="E32" s="530">
        <f>E33+E34</f>
        <v>1042.01</v>
      </c>
      <c r="F32" s="531">
        <f>F33+F34</f>
        <v>980.51</v>
      </c>
      <c r="G32" s="530">
        <v>1148.13</v>
      </c>
      <c r="H32" s="532"/>
      <c r="I32" s="462">
        <f>I33+I34</f>
        <v>980.51</v>
      </c>
      <c r="J32" s="460">
        <f t="shared" si="0"/>
        <v>85.40060794509333</v>
      </c>
      <c r="K32" s="463"/>
      <c r="L32" s="463">
        <f t="shared" si="2"/>
        <v>100</v>
      </c>
      <c r="M32" s="462"/>
      <c r="N32" s="533">
        <f>I32</f>
        <v>980.51</v>
      </c>
      <c r="O32" s="464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5"/>
      <c r="AR32" s="465"/>
      <c r="AS32" s="465"/>
      <c r="AT32" s="465"/>
      <c r="AU32" s="465"/>
      <c r="AV32" s="465"/>
    </row>
    <row r="33" spans="1:48" s="480" customFormat="1" ht="15.75">
      <c r="A33" s="469" t="s">
        <v>33</v>
      </c>
      <c r="B33" s="470" t="s">
        <v>34</v>
      </c>
      <c r="C33" s="469" t="s">
        <v>16</v>
      </c>
      <c r="D33" s="534">
        <v>61.5</v>
      </c>
      <c r="E33" s="534">
        <f>D33</f>
        <v>61.5</v>
      </c>
      <c r="F33" s="535">
        <v>0</v>
      </c>
      <c r="G33" s="534">
        <v>40.5</v>
      </c>
      <c r="H33" s="536"/>
      <c r="I33" s="473"/>
      <c r="J33" s="471"/>
      <c r="K33" s="474"/>
      <c r="L33" s="474"/>
      <c r="M33" s="473"/>
      <c r="N33" s="472"/>
      <c r="O33" s="475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</row>
    <row r="34" spans="1:48" s="480" customFormat="1" ht="15.75">
      <c r="A34" s="469" t="s">
        <v>35</v>
      </c>
      <c r="B34" s="537" t="s">
        <v>36</v>
      </c>
      <c r="C34" s="469" t="s">
        <v>16</v>
      </c>
      <c r="D34" s="534">
        <v>1107.63</v>
      </c>
      <c r="E34" s="534">
        <v>980.51</v>
      </c>
      <c r="F34" s="535">
        <f>F35+F38</f>
        <v>980.51</v>
      </c>
      <c r="G34" s="534">
        <v>1107.63</v>
      </c>
      <c r="H34" s="536"/>
      <c r="I34" s="473">
        <v>980.51</v>
      </c>
      <c r="J34" s="471">
        <f t="shared" si="0"/>
        <v>88.52324332132571</v>
      </c>
      <c r="K34" s="474"/>
      <c r="L34" s="474">
        <f t="shared" si="2"/>
        <v>100</v>
      </c>
      <c r="M34" s="473"/>
      <c r="N34" s="472">
        <f>I34</f>
        <v>980.51</v>
      </c>
      <c r="O34" s="475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6"/>
      <c r="AA34" s="476"/>
      <c r="AB34" s="476"/>
      <c r="AC34" s="476"/>
      <c r="AD34" s="476"/>
      <c r="AE34" s="476"/>
      <c r="AF34" s="476"/>
      <c r="AG34" s="476"/>
      <c r="AH34" s="476"/>
      <c r="AI34" s="476"/>
      <c r="AJ34" s="476"/>
      <c r="AK34" s="476"/>
      <c r="AL34" s="476"/>
      <c r="AM34" s="476"/>
      <c r="AN34" s="476"/>
      <c r="AO34" s="476"/>
      <c r="AP34" s="476"/>
      <c r="AQ34" s="476"/>
      <c r="AR34" s="476"/>
      <c r="AS34" s="476"/>
      <c r="AT34" s="476"/>
      <c r="AU34" s="476"/>
      <c r="AV34" s="476"/>
    </row>
    <row r="35" spans="1:48" s="510" customFormat="1" ht="15.75">
      <c r="A35" s="500"/>
      <c r="B35" s="501" t="s">
        <v>37</v>
      </c>
      <c r="C35" s="500" t="s">
        <v>16</v>
      </c>
      <c r="D35" s="520"/>
      <c r="E35" s="520"/>
      <c r="F35" s="521"/>
      <c r="G35" s="520"/>
      <c r="H35" s="538"/>
      <c r="I35" s="511"/>
      <c r="J35" s="512"/>
      <c r="K35" s="489"/>
      <c r="L35" s="489"/>
      <c r="M35" s="511"/>
      <c r="N35" s="524"/>
      <c r="O35" s="507"/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8"/>
      <c r="AA35" s="508"/>
      <c r="AB35" s="508"/>
      <c r="AC35" s="508"/>
      <c r="AD35" s="508"/>
      <c r="AE35" s="508"/>
      <c r="AF35" s="508"/>
      <c r="AG35" s="508"/>
      <c r="AH35" s="508"/>
      <c r="AI35" s="508"/>
      <c r="AJ35" s="508"/>
      <c r="AK35" s="508"/>
      <c r="AL35" s="508"/>
      <c r="AM35" s="508"/>
      <c r="AN35" s="508"/>
      <c r="AO35" s="508"/>
      <c r="AP35" s="508"/>
      <c r="AQ35" s="508"/>
      <c r="AR35" s="508"/>
      <c r="AS35" s="508"/>
      <c r="AT35" s="508"/>
      <c r="AU35" s="508"/>
      <c r="AV35" s="508"/>
    </row>
    <row r="36" spans="1:48" s="50" customFormat="1" ht="15.75">
      <c r="A36" s="47"/>
      <c r="B36" s="61" t="s">
        <v>38</v>
      </c>
      <c r="C36" s="47" t="s">
        <v>39</v>
      </c>
      <c r="D36" s="59"/>
      <c r="E36" s="59"/>
      <c r="F36" s="438"/>
      <c r="G36" s="59"/>
      <c r="H36" s="116"/>
      <c r="I36" s="115"/>
      <c r="J36" s="485"/>
      <c r="K36" s="489"/>
      <c r="L36" s="489"/>
      <c r="M36" s="115"/>
      <c r="N36" s="435"/>
      <c r="O36" s="411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  <c r="AG36" s="410"/>
      <c r="AH36" s="410"/>
      <c r="AI36" s="410"/>
      <c r="AJ36" s="410"/>
      <c r="AK36" s="410"/>
      <c r="AL36" s="410"/>
      <c r="AM36" s="410"/>
      <c r="AN36" s="410"/>
      <c r="AO36" s="410"/>
      <c r="AP36" s="410"/>
      <c r="AQ36" s="410"/>
      <c r="AR36" s="410"/>
      <c r="AS36" s="410"/>
      <c r="AT36" s="410"/>
      <c r="AU36" s="410"/>
      <c r="AV36" s="410"/>
    </row>
    <row r="37" spans="1:48" s="50" customFormat="1" ht="15.75">
      <c r="A37" s="47"/>
      <c r="B37" s="61" t="s">
        <v>40</v>
      </c>
      <c r="C37" s="47" t="s">
        <v>19</v>
      </c>
      <c r="D37" s="59"/>
      <c r="E37" s="59"/>
      <c r="F37" s="438"/>
      <c r="G37" s="59"/>
      <c r="H37" s="116"/>
      <c r="I37" s="115"/>
      <c r="J37" s="485"/>
      <c r="K37" s="489"/>
      <c r="L37" s="489"/>
      <c r="M37" s="115"/>
      <c r="N37" s="435"/>
      <c r="O37" s="411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  <c r="AP37" s="410"/>
      <c r="AQ37" s="410"/>
      <c r="AR37" s="410"/>
      <c r="AS37" s="410"/>
      <c r="AT37" s="410"/>
      <c r="AU37" s="410"/>
      <c r="AV37" s="410"/>
    </row>
    <row r="38" spans="1:48" s="510" customFormat="1" ht="15.75">
      <c r="A38" s="500"/>
      <c r="B38" s="501" t="s">
        <v>41</v>
      </c>
      <c r="C38" s="500" t="s">
        <v>16</v>
      </c>
      <c r="D38" s="520">
        <v>1107.63</v>
      </c>
      <c r="E38" s="539">
        <f>E39</f>
        <v>980.51</v>
      </c>
      <c r="F38" s="521">
        <v>980.51</v>
      </c>
      <c r="G38" s="539">
        <v>1107.63</v>
      </c>
      <c r="H38" s="538">
        <v>969.7</v>
      </c>
      <c r="I38" s="540">
        <f>I39</f>
        <v>980.51</v>
      </c>
      <c r="J38" s="512">
        <f t="shared" si="0"/>
        <v>88.52324332132571</v>
      </c>
      <c r="K38" s="513">
        <f>F38/H38*100</f>
        <v>101.11477776631948</v>
      </c>
      <c r="L38" s="513">
        <f t="shared" si="2"/>
        <v>100</v>
      </c>
      <c r="M38" s="540"/>
      <c r="N38" s="524">
        <f>I38</f>
        <v>980.51</v>
      </c>
      <c r="O38" s="507"/>
      <c r="P38" s="508"/>
      <c r="Q38" s="508">
        <v>981.8</v>
      </c>
      <c r="R38" s="508"/>
      <c r="S38" s="508"/>
      <c r="T38" s="508"/>
      <c r="U38" s="508"/>
      <c r="V38" s="508"/>
      <c r="W38" s="508"/>
      <c r="X38" s="508"/>
      <c r="Y38" s="508"/>
      <c r="Z38" s="508"/>
      <c r="AA38" s="508"/>
      <c r="AB38" s="508"/>
      <c r="AC38" s="508"/>
      <c r="AD38" s="508"/>
      <c r="AE38" s="508"/>
      <c r="AF38" s="508"/>
      <c r="AG38" s="508"/>
      <c r="AH38" s="508"/>
      <c r="AI38" s="508"/>
      <c r="AJ38" s="508"/>
      <c r="AK38" s="508"/>
      <c r="AL38" s="508"/>
      <c r="AM38" s="508"/>
      <c r="AN38" s="508"/>
      <c r="AO38" s="508"/>
      <c r="AP38" s="508"/>
      <c r="AQ38" s="508"/>
      <c r="AR38" s="508"/>
      <c r="AS38" s="508"/>
      <c r="AT38" s="508"/>
      <c r="AU38" s="508"/>
      <c r="AV38" s="508"/>
    </row>
    <row r="39" spans="1:48" s="50" customFormat="1" ht="15.75">
      <c r="A39" s="47"/>
      <c r="B39" s="61" t="s">
        <v>42</v>
      </c>
      <c r="C39" s="47" t="s">
        <v>16</v>
      </c>
      <c r="D39" s="59">
        <v>1107.63</v>
      </c>
      <c r="E39" s="187">
        <v>980.51</v>
      </c>
      <c r="F39" s="438">
        <f>F38</f>
        <v>980.51</v>
      </c>
      <c r="G39" s="187">
        <v>1107.63</v>
      </c>
      <c r="H39" s="116"/>
      <c r="I39" s="191">
        <v>980.51</v>
      </c>
      <c r="J39" s="485">
        <f t="shared" si="0"/>
        <v>88.52324332132571</v>
      </c>
      <c r="K39" s="489"/>
      <c r="L39" s="489">
        <f t="shared" si="2"/>
        <v>100</v>
      </c>
      <c r="M39" s="191"/>
      <c r="N39" s="435">
        <f>I39</f>
        <v>980.51</v>
      </c>
      <c r="O39" s="411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10"/>
      <c r="AJ39" s="410"/>
      <c r="AK39" s="410"/>
      <c r="AL39" s="410"/>
      <c r="AM39" s="410"/>
      <c r="AN39" s="410"/>
      <c r="AO39" s="410"/>
      <c r="AP39" s="410"/>
      <c r="AQ39" s="410"/>
      <c r="AR39" s="410"/>
      <c r="AS39" s="410"/>
      <c r="AT39" s="410"/>
      <c r="AU39" s="410"/>
      <c r="AV39" s="410"/>
    </row>
    <row r="40" spans="1:48" s="50" customFormat="1" ht="15.75">
      <c r="A40" s="47"/>
      <c r="B40" s="61" t="s">
        <v>43</v>
      </c>
      <c r="C40" s="47" t="s">
        <v>16</v>
      </c>
      <c r="D40" s="59"/>
      <c r="E40" s="187"/>
      <c r="F40" s="438"/>
      <c r="G40" s="187"/>
      <c r="H40" s="116"/>
      <c r="I40" s="192"/>
      <c r="J40" s="485"/>
      <c r="K40" s="489"/>
      <c r="L40" s="489"/>
      <c r="M40" s="192"/>
      <c r="N40" s="435"/>
      <c r="O40" s="411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0"/>
      <c r="AI40" s="410"/>
      <c r="AJ40" s="410"/>
      <c r="AK40" s="410"/>
      <c r="AL40" s="410"/>
      <c r="AM40" s="410"/>
      <c r="AN40" s="410"/>
      <c r="AO40" s="410"/>
      <c r="AP40" s="410"/>
      <c r="AQ40" s="410"/>
      <c r="AR40" s="410"/>
      <c r="AS40" s="410"/>
      <c r="AT40" s="410"/>
      <c r="AU40" s="410"/>
      <c r="AV40" s="410"/>
    </row>
    <row r="41" spans="1:48" s="468" customFormat="1" ht="15.75">
      <c r="A41" s="458">
        <v>5</v>
      </c>
      <c r="B41" s="459" t="s">
        <v>44</v>
      </c>
      <c r="C41" s="458" t="s">
        <v>16</v>
      </c>
      <c r="D41" s="530">
        <v>1215.5</v>
      </c>
      <c r="E41" s="541">
        <v>1271.88</v>
      </c>
      <c r="F41" s="531">
        <v>1271.88</v>
      </c>
      <c r="G41" s="541">
        <v>1215.5</v>
      </c>
      <c r="H41" s="532"/>
      <c r="I41" s="542">
        <v>1281.88</v>
      </c>
      <c r="J41" s="460">
        <f t="shared" si="0"/>
        <v>104.6384204031263</v>
      </c>
      <c r="K41" s="463"/>
      <c r="L41" s="463">
        <f t="shared" si="2"/>
        <v>99.21989577807595</v>
      </c>
      <c r="M41" s="542"/>
      <c r="N41" s="543"/>
      <c r="O41" s="464">
        <v>981.8</v>
      </c>
      <c r="P41" s="465"/>
      <c r="Q41" s="465"/>
      <c r="R41" s="465"/>
      <c r="S41" s="467">
        <f>1215.5/I41*100</f>
        <v>94.82166817486815</v>
      </c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  <c r="AU41" s="465"/>
      <c r="AV41" s="465"/>
    </row>
    <row r="42" spans="1:48" s="50" customFormat="1" ht="15.75">
      <c r="A42" s="47"/>
      <c r="B42" s="61" t="s">
        <v>45</v>
      </c>
      <c r="C42" s="47" t="s">
        <v>16</v>
      </c>
      <c r="D42" s="59">
        <v>27</v>
      </c>
      <c r="E42" s="187">
        <v>61.2</v>
      </c>
      <c r="F42" s="438">
        <v>0</v>
      </c>
      <c r="G42" s="187"/>
      <c r="H42" s="116"/>
      <c r="I42" s="192">
        <v>10</v>
      </c>
      <c r="J42" s="485"/>
      <c r="K42" s="489"/>
      <c r="L42" s="489"/>
      <c r="M42" s="192"/>
      <c r="N42" s="449"/>
      <c r="O42" s="411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0"/>
      <c r="AP42" s="410"/>
      <c r="AQ42" s="410"/>
      <c r="AR42" s="410"/>
      <c r="AS42" s="410"/>
      <c r="AT42" s="410"/>
      <c r="AU42" s="410"/>
      <c r="AV42" s="410"/>
    </row>
    <row r="43" spans="1:48" s="468" customFormat="1" ht="15.75">
      <c r="A43" s="544" t="s">
        <v>46</v>
      </c>
      <c r="B43" s="545" t="s">
        <v>47</v>
      </c>
      <c r="C43" s="458" t="s">
        <v>48</v>
      </c>
      <c r="D43" s="546">
        <f>D44+D45+D46+D47+D48</f>
        <v>1882170</v>
      </c>
      <c r="E43" s="546">
        <f>E44+E45+E46+E47+E48</f>
        <v>1977931</v>
      </c>
      <c r="F43" s="482">
        <f>F44+F45+F46+F47+F48</f>
        <v>2031889</v>
      </c>
      <c r="G43" s="546">
        <f>G44+G45+G46+G47+G48</f>
        <v>1926461</v>
      </c>
      <c r="H43" s="546"/>
      <c r="I43" s="481">
        <f>SUM(I44:I48)</f>
        <v>2076366.576</v>
      </c>
      <c r="J43" s="460">
        <f t="shared" si="0"/>
        <v>105.4726257110837</v>
      </c>
      <c r="K43" s="463"/>
      <c r="L43" s="463">
        <f t="shared" si="2"/>
        <v>97.8579131202505</v>
      </c>
      <c r="M43" s="481"/>
      <c r="N43" s="482">
        <f aca="true" t="shared" si="4" ref="N43:N48">I43</f>
        <v>2076366.576</v>
      </c>
      <c r="O43" s="464"/>
      <c r="P43" s="465"/>
      <c r="Q43" s="465"/>
      <c r="R43" s="547">
        <f>E43-D43</f>
        <v>95761</v>
      </c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465"/>
      <c r="AT43" s="465"/>
      <c r="AU43" s="465"/>
      <c r="AV43" s="465"/>
    </row>
    <row r="44" spans="1:48" s="50" customFormat="1" ht="15.75">
      <c r="A44" s="47">
        <v>1</v>
      </c>
      <c r="B44" s="7" t="s">
        <v>49</v>
      </c>
      <c r="C44" s="47" t="s">
        <v>48</v>
      </c>
      <c r="D44" s="89">
        <v>24150</v>
      </c>
      <c r="E44" s="89">
        <v>24984</v>
      </c>
      <c r="F44" s="440">
        <v>25350</v>
      </c>
      <c r="G44" s="89">
        <v>24559</v>
      </c>
      <c r="H44" s="405">
        <v>25651</v>
      </c>
      <c r="I44" s="208">
        <v>25734</v>
      </c>
      <c r="J44" s="485">
        <f t="shared" si="0"/>
        <v>103.22081517977115</v>
      </c>
      <c r="K44" s="489">
        <f>F44/H44*100</f>
        <v>98.82655646953336</v>
      </c>
      <c r="L44" s="489">
        <f t="shared" si="2"/>
        <v>98.50781067847983</v>
      </c>
      <c r="M44" s="208"/>
      <c r="N44" s="452">
        <f t="shared" si="4"/>
        <v>25734</v>
      </c>
      <c r="O44" s="411">
        <v>23992</v>
      </c>
      <c r="P44" s="410"/>
      <c r="Q44" s="410">
        <v>24874</v>
      </c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0"/>
      <c r="AL44" s="410"/>
      <c r="AM44" s="410"/>
      <c r="AN44" s="410"/>
      <c r="AO44" s="410"/>
      <c r="AP44" s="410"/>
      <c r="AQ44" s="410"/>
      <c r="AR44" s="410"/>
      <c r="AS44" s="410"/>
      <c r="AT44" s="410"/>
      <c r="AU44" s="410"/>
      <c r="AV44" s="410"/>
    </row>
    <row r="45" spans="1:48" s="50" customFormat="1" ht="15.75">
      <c r="A45" s="47">
        <v>2</v>
      </c>
      <c r="B45" s="7" t="s">
        <v>50</v>
      </c>
      <c r="C45" s="47" t="s">
        <v>48</v>
      </c>
      <c r="D45" s="89">
        <v>16253</v>
      </c>
      <c r="E45" s="89">
        <v>17078</v>
      </c>
      <c r="F45" s="440">
        <v>17487</v>
      </c>
      <c r="G45" s="89">
        <v>16675</v>
      </c>
      <c r="H45" s="405">
        <v>17761</v>
      </c>
      <c r="I45" s="208">
        <v>17932</v>
      </c>
      <c r="J45" s="485">
        <f t="shared" si="0"/>
        <v>104.8695652173913</v>
      </c>
      <c r="K45" s="489">
        <f>F45/H45*100</f>
        <v>98.45729407127976</v>
      </c>
      <c r="L45" s="489">
        <f t="shared" si="2"/>
        <v>97.51840285523087</v>
      </c>
      <c r="M45" s="208"/>
      <c r="N45" s="453">
        <f t="shared" si="4"/>
        <v>17932</v>
      </c>
      <c r="O45" s="411">
        <v>16082</v>
      </c>
      <c r="P45" s="410"/>
      <c r="Q45" s="410">
        <v>17066</v>
      </c>
      <c r="R45" s="410"/>
      <c r="S45" s="410"/>
      <c r="T45" s="410"/>
      <c r="U45" s="410"/>
      <c r="V45" s="410"/>
      <c r="W45" s="410"/>
      <c r="X45" s="410"/>
      <c r="Y45" s="410"/>
      <c r="Z45" s="410"/>
      <c r="AA45" s="410"/>
      <c r="AB45" s="410"/>
      <c r="AC45" s="410"/>
      <c r="AD45" s="410"/>
      <c r="AE45" s="410"/>
      <c r="AF45" s="410"/>
      <c r="AG45" s="410"/>
      <c r="AH45" s="410"/>
      <c r="AI45" s="410"/>
      <c r="AJ45" s="410"/>
      <c r="AK45" s="410"/>
      <c r="AL45" s="410"/>
      <c r="AM45" s="410"/>
      <c r="AN45" s="410"/>
      <c r="AO45" s="410"/>
      <c r="AP45" s="410"/>
      <c r="AQ45" s="410"/>
      <c r="AR45" s="410"/>
      <c r="AS45" s="410"/>
      <c r="AT45" s="410"/>
      <c r="AU45" s="410"/>
      <c r="AV45" s="410"/>
    </row>
    <row r="46" spans="1:48" s="50" customFormat="1" ht="15.75">
      <c r="A46" s="47">
        <v>3</v>
      </c>
      <c r="B46" s="7" t="s">
        <v>609</v>
      </c>
      <c r="C46" s="47" t="s">
        <v>48</v>
      </c>
      <c r="D46" s="89">
        <v>2877</v>
      </c>
      <c r="E46" s="89">
        <v>3164</v>
      </c>
      <c r="F46" s="440">
        <v>3319</v>
      </c>
      <c r="G46" s="89">
        <v>3026</v>
      </c>
      <c r="H46" s="405"/>
      <c r="I46" s="208">
        <v>3322</v>
      </c>
      <c r="J46" s="485">
        <f t="shared" si="0"/>
        <v>109.68274950429611</v>
      </c>
      <c r="K46" s="489"/>
      <c r="L46" s="489">
        <f t="shared" si="2"/>
        <v>99.90969295605056</v>
      </c>
      <c r="M46" s="208"/>
      <c r="N46" s="454">
        <f t="shared" si="4"/>
        <v>3322</v>
      </c>
      <c r="O46" s="411">
        <v>50747</v>
      </c>
      <c r="P46" s="410"/>
      <c r="Q46" s="410"/>
      <c r="R46" s="410"/>
      <c r="S46" s="410"/>
      <c r="T46" s="410"/>
      <c r="U46" s="410"/>
      <c r="V46" s="410"/>
      <c r="W46" s="410"/>
      <c r="X46" s="410"/>
      <c r="Y46" s="410"/>
      <c r="Z46" s="410"/>
      <c r="AA46" s="410"/>
      <c r="AB46" s="410"/>
      <c r="AC46" s="410"/>
      <c r="AD46" s="410"/>
      <c r="AE46" s="410"/>
      <c r="AF46" s="410"/>
      <c r="AG46" s="410"/>
      <c r="AH46" s="410"/>
      <c r="AI46" s="410"/>
      <c r="AJ46" s="410"/>
      <c r="AK46" s="410"/>
      <c r="AL46" s="410"/>
      <c r="AM46" s="410"/>
      <c r="AN46" s="410"/>
      <c r="AO46" s="410"/>
      <c r="AP46" s="410"/>
      <c r="AQ46" s="410"/>
      <c r="AR46" s="410"/>
      <c r="AS46" s="410"/>
      <c r="AT46" s="410"/>
      <c r="AU46" s="410"/>
      <c r="AV46" s="410"/>
    </row>
    <row r="47" spans="1:48" s="50" customFormat="1" ht="15.75">
      <c r="A47" s="47">
        <v>4</v>
      </c>
      <c r="B47" s="7" t="s">
        <v>51</v>
      </c>
      <c r="C47" s="47" t="s">
        <v>48</v>
      </c>
      <c r="D47" s="89">
        <v>53065</v>
      </c>
      <c r="E47" s="89">
        <v>55380</v>
      </c>
      <c r="F47" s="440">
        <v>56801</v>
      </c>
      <c r="G47" s="89">
        <v>54818</v>
      </c>
      <c r="H47" s="405">
        <v>58149</v>
      </c>
      <c r="I47" s="208">
        <v>58149</v>
      </c>
      <c r="J47" s="485">
        <f t="shared" si="0"/>
        <v>103.61742493341603</v>
      </c>
      <c r="K47" s="489">
        <f>F47/H47*100</f>
        <v>97.68181740012726</v>
      </c>
      <c r="L47" s="489">
        <f t="shared" si="2"/>
        <v>97.68181740012726</v>
      </c>
      <c r="M47" s="208"/>
      <c r="N47" s="455">
        <f t="shared" si="4"/>
        <v>58149</v>
      </c>
      <c r="O47" s="411">
        <v>1782083</v>
      </c>
      <c r="P47" s="410"/>
      <c r="Q47" s="410">
        <v>55160</v>
      </c>
      <c r="R47" s="410"/>
      <c r="S47" s="410"/>
      <c r="T47" s="410"/>
      <c r="U47" s="410"/>
      <c r="V47" s="410"/>
      <c r="W47" s="410"/>
      <c r="X47" s="410"/>
      <c r="Y47" s="410"/>
      <c r="Z47" s="410"/>
      <c r="AA47" s="410"/>
      <c r="AB47" s="410"/>
      <c r="AC47" s="410"/>
      <c r="AD47" s="410"/>
      <c r="AE47" s="410"/>
      <c r="AF47" s="410"/>
      <c r="AG47" s="410"/>
      <c r="AH47" s="410"/>
      <c r="AI47" s="410"/>
      <c r="AJ47" s="410"/>
      <c r="AK47" s="410"/>
      <c r="AL47" s="410"/>
      <c r="AM47" s="410"/>
      <c r="AN47" s="410"/>
      <c r="AO47" s="410"/>
      <c r="AP47" s="410"/>
      <c r="AQ47" s="410"/>
      <c r="AR47" s="410"/>
      <c r="AS47" s="410"/>
      <c r="AT47" s="410"/>
      <c r="AU47" s="410"/>
      <c r="AV47" s="410"/>
    </row>
    <row r="48" spans="1:48" s="50" customFormat="1" ht="15.75">
      <c r="A48" s="47">
        <v>5</v>
      </c>
      <c r="B48" s="7" t="s">
        <v>52</v>
      </c>
      <c r="C48" s="47" t="s">
        <v>48</v>
      </c>
      <c r="D48" s="89">
        <v>1785825</v>
      </c>
      <c r="E48" s="89">
        <v>1877325</v>
      </c>
      <c r="F48" s="440">
        <v>1928932</v>
      </c>
      <c r="G48" s="89">
        <v>1827383</v>
      </c>
      <c r="H48" s="405">
        <v>1969332</v>
      </c>
      <c r="I48" s="126">
        <f>'[2]chan nuoi '!$Q$28</f>
        <v>1971229.576</v>
      </c>
      <c r="J48" s="485">
        <f t="shared" si="0"/>
        <v>105.55707260054406</v>
      </c>
      <c r="K48" s="489">
        <f>F48/H48*100</f>
        <v>97.94854295771358</v>
      </c>
      <c r="L48" s="489">
        <f t="shared" si="2"/>
        <v>97.85425419164876</v>
      </c>
      <c r="M48" s="126"/>
      <c r="N48" s="449">
        <f t="shared" si="4"/>
        <v>1971229.576</v>
      </c>
      <c r="O48" s="411"/>
      <c r="P48" s="410"/>
      <c r="Q48" s="410">
        <v>1875117</v>
      </c>
      <c r="R48" s="410">
        <f>M48/E48*100</f>
        <v>0</v>
      </c>
      <c r="S48" s="410"/>
      <c r="T48" s="410"/>
      <c r="U48" s="410"/>
      <c r="V48" s="410"/>
      <c r="W48" s="410"/>
      <c r="X48" s="410"/>
      <c r="Y48" s="410"/>
      <c r="Z48" s="410"/>
      <c r="AA48" s="410"/>
      <c r="AB48" s="410"/>
      <c r="AC48" s="410"/>
      <c r="AD48" s="410"/>
      <c r="AE48" s="410"/>
      <c r="AF48" s="410"/>
      <c r="AG48" s="410"/>
      <c r="AH48" s="410"/>
      <c r="AI48" s="410"/>
      <c r="AJ48" s="410"/>
      <c r="AK48" s="410"/>
      <c r="AL48" s="410"/>
      <c r="AM48" s="410"/>
      <c r="AN48" s="410"/>
      <c r="AO48" s="410"/>
      <c r="AP48" s="410"/>
      <c r="AQ48" s="410"/>
      <c r="AR48" s="410"/>
      <c r="AS48" s="410"/>
      <c r="AT48" s="410"/>
      <c r="AU48" s="410"/>
      <c r="AV48" s="410"/>
    </row>
    <row r="49" spans="1:48" s="66" customFormat="1" ht="28.5">
      <c r="A49" s="53"/>
      <c r="B49" s="12" t="s">
        <v>629</v>
      </c>
      <c r="C49" s="53"/>
      <c r="D49" s="112"/>
      <c r="E49" s="112"/>
      <c r="F49" s="441"/>
      <c r="G49" s="112"/>
      <c r="H49" s="390"/>
      <c r="I49" s="193"/>
      <c r="J49" s="485"/>
      <c r="K49" s="489"/>
      <c r="L49" s="489"/>
      <c r="M49" s="193"/>
      <c r="N49" s="439"/>
      <c r="O49" s="412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  <c r="AD49" s="413"/>
      <c r="AE49" s="413"/>
      <c r="AF49" s="413"/>
      <c r="AG49" s="413"/>
      <c r="AH49" s="413"/>
      <c r="AI49" s="413"/>
      <c r="AJ49" s="413"/>
      <c r="AK49" s="413"/>
      <c r="AL49" s="413"/>
      <c r="AM49" s="413"/>
      <c r="AN49" s="413"/>
      <c r="AO49" s="413"/>
      <c r="AP49" s="413"/>
      <c r="AQ49" s="413"/>
      <c r="AR49" s="413"/>
      <c r="AS49" s="413"/>
      <c r="AT49" s="413"/>
      <c r="AU49" s="413"/>
      <c r="AV49" s="413"/>
    </row>
    <row r="50" spans="1:48" s="50" customFormat="1" ht="15.75">
      <c r="A50" s="47">
        <v>6</v>
      </c>
      <c r="B50" s="101" t="s">
        <v>630</v>
      </c>
      <c r="C50" s="47" t="s">
        <v>19</v>
      </c>
      <c r="D50" s="103">
        <v>525.18</v>
      </c>
      <c r="E50" s="103">
        <v>555.67</v>
      </c>
      <c r="F50" s="442">
        <v>291.66</v>
      </c>
      <c r="G50" s="103">
        <v>275.26</v>
      </c>
      <c r="H50" s="116"/>
      <c r="I50" s="192">
        <f>M50</f>
        <v>0</v>
      </c>
      <c r="J50" s="485">
        <f t="shared" si="0"/>
        <v>105.95800334229457</v>
      </c>
      <c r="K50" s="489"/>
      <c r="L50" s="489"/>
      <c r="M50" s="192"/>
      <c r="N50" s="435"/>
      <c r="O50" s="411"/>
      <c r="P50" s="410"/>
      <c r="Q50" s="410"/>
      <c r="R50" s="410"/>
      <c r="S50" s="410"/>
      <c r="T50" s="410"/>
      <c r="U50" s="410"/>
      <c r="V50" s="410"/>
      <c r="W50" s="410"/>
      <c r="X50" s="410"/>
      <c r="Y50" s="410"/>
      <c r="Z50" s="410"/>
      <c r="AA50" s="410"/>
      <c r="AB50" s="410"/>
      <c r="AC50" s="410"/>
      <c r="AD50" s="410"/>
      <c r="AE50" s="410"/>
      <c r="AF50" s="410"/>
      <c r="AG50" s="410"/>
      <c r="AH50" s="410"/>
      <c r="AI50" s="410"/>
      <c r="AJ50" s="410"/>
      <c r="AK50" s="410"/>
      <c r="AL50" s="410"/>
      <c r="AM50" s="410"/>
      <c r="AN50" s="410"/>
      <c r="AO50" s="410"/>
      <c r="AP50" s="410"/>
      <c r="AQ50" s="410"/>
      <c r="AR50" s="410"/>
      <c r="AS50" s="410"/>
      <c r="AT50" s="410"/>
      <c r="AU50" s="410"/>
      <c r="AV50" s="410"/>
    </row>
    <row r="51" spans="1:48" s="50" customFormat="1" ht="15.75">
      <c r="A51" s="47">
        <v>7</v>
      </c>
      <c r="B51" s="101" t="s">
        <v>631</v>
      </c>
      <c r="C51" s="47" t="s">
        <v>19</v>
      </c>
      <c r="D51" s="103">
        <v>596.46</v>
      </c>
      <c r="E51" s="103">
        <v>639.25</v>
      </c>
      <c r="F51" s="442">
        <v>328.56</v>
      </c>
      <c r="G51" s="103">
        <v>300.61</v>
      </c>
      <c r="H51" s="116"/>
      <c r="I51" s="192">
        <f>M51</f>
        <v>0</v>
      </c>
      <c r="J51" s="485">
        <f t="shared" si="0"/>
        <v>109.29776121885499</v>
      </c>
      <c r="K51" s="489"/>
      <c r="L51" s="489"/>
      <c r="M51" s="192"/>
      <c r="N51" s="435">
        <f>G51</f>
        <v>300.61</v>
      </c>
      <c r="O51" s="411"/>
      <c r="P51" s="410"/>
      <c r="Q51" s="410"/>
      <c r="R51" s="410"/>
      <c r="S51" s="410"/>
      <c r="T51" s="410"/>
      <c r="U51" s="410"/>
      <c r="V51" s="410"/>
      <c r="W51" s="410"/>
      <c r="X51" s="410"/>
      <c r="Y51" s="410"/>
      <c r="Z51" s="410"/>
      <c r="AA51" s="410"/>
      <c r="AB51" s="410"/>
      <c r="AC51" s="410"/>
      <c r="AD51" s="410"/>
      <c r="AE51" s="410"/>
      <c r="AF51" s="410"/>
      <c r="AG51" s="410"/>
      <c r="AH51" s="410"/>
      <c r="AI51" s="410"/>
      <c r="AJ51" s="410"/>
      <c r="AK51" s="410"/>
      <c r="AL51" s="410"/>
      <c r="AM51" s="410"/>
      <c r="AN51" s="410"/>
      <c r="AO51" s="410"/>
      <c r="AP51" s="410"/>
      <c r="AQ51" s="410"/>
      <c r="AR51" s="410"/>
      <c r="AS51" s="410"/>
      <c r="AT51" s="410"/>
      <c r="AU51" s="410"/>
      <c r="AV51" s="410"/>
    </row>
    <row r="52" spans="1:48" s="50" customFormat="1" ht="15.75">
      <c r="A52" s="47">
        <v>8</v>
      </c>
      <c r="B52" s="101" t="s">
        <v>632</v>
      </c>
      <c r="C52" s="47" t="s">
        <v>19</v>
      </c>
      <c r="D52" s="103">
        <v>2480</v>
      </c>
      <c r="E52" s="103">
        <v>2632.41</v>
      </c>
      <c r="F52" s="442">
        <v>1455.78</v>
      </c>
      <c r="G52" s="103">
        <v>1355.79</v>
      </c>
      <c r="H52" s="116"/>
      <c r="I52" s="192">
        <f>M52</f>
        <v>0</v>
      </c>
      <c r="J52" s="485">
        <f t="shared" si="0"/>
        <v>107.37503595689597</v>
      </c>
      <c r="K52" s="489"/>
      <c r="L52" s="489"/>
      <c r="M52" s="192"/>
      <c r="N52" s="435">
        <f>G52</f>
        <v>1355.79</v>
      </c>
      <c r="O52" s="411"/>
      <c r="P52" s="410"/>
      <c r="Q52" s="410"/>
      <c r="R52" s="410"/>
      <c r="S52" s="410"/>
      <c r="T52" s="410"/>
      <c r="U52" s="410"/>
      <c r="V52" s="410"/>
      <c r="W52" s="410"/>
      <c r="X52" s="410"/>
      <c r="Y52" s="410"/>
      <c r="Z52" s="410"/>
      <c r="AA52" s="410"/>
      <c r="AB52" s="410"/>
      <c r="AC52" s="410"/>
      <c r="AD52" s="410"/>
      <c r="AE52" s="410"/>
      <c r="AF52" s="410"/>
      <c r="AG52" s="410"/>
      <c r="AH52" s="410"/>
      <c r="AI52" s="410"/>
      <c r="AJ52" s="410"/>
      <c r="AK52" s="410"/>
      <c r="AL52" s="410"/>
      <c r="AM52" s="410"/>
      <c r="AN52" s="410"/>
      <c r="AO52" s="410"/>
      <c r="AP52" s="410"/>
      <c r="AQ52" s="410"/>
      <c r="AR52" s="410"/>
      <c r="AS52" s="410"/>
      <c r="AT52" s="410"/>
      <c r="AU52" s="410"/>
      <c r="AV52" s="410"/>
    </row>
    <row r="53" spans="1:48" s="50" customFormat="1" ht="15.75">
      <c r="A53" s="47">
        <v>9</v>
      </c>
      <c r="B53" s="101" t="s">
        <v>633</v>
      </c>
      <c r="C53" s="47" t="s">
        <v>19</v>
      </c>
      <c r="D53" s="102">
        <v>1867.41</v>
      </c>
      <c r="E53" s="90">
        <v>2031.32</v>
      </c>
      <c r="F53" s="443">
        <v>692.34</v>
      </c>
      <c r="G53" s="90">
        <v>963.48</v>
      </c>
      <c r="H53" s="116"/>
      <c r="I53" s="192">
        <f>M53</f>
        <v>0</v>
      </c>
      <c r="J53" s="485">
        <f t="shared" si="0"/>
        <v>71.85826379374767</v>
      </c>
      <c r="K53" s="489"/>
      <c r="L53" s="489"/>
      <c r="M53" s="192"/>
      <c r="N53" s="435">
        <f>G53</f>
        <v>963.48</v>
      </c>
      <c r="O53" s="411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10"/>
      <c r="AH53" s="410"/>
      <c r="AI53" s="410"/>
      <c r="AJ53" s="410"/>
      <c r="AK53" s="410"/>
      <c r="AL53" s="410"/>
      <c r="AM53" s="410"/>
      <c r="AN53" s="410"/>
      <c r="AO53" s="410"/>
      <c r="AP53" s="410"/>
      <c r="AQ53" s="410"/>
      <c r="AR53" s="410"/>
      <c r="AS53" s="410"/>
      <c r="AT53" s="410"/>
      <c r="AU53" s="410"/>
      <c r="AV53" s="410"/>
    </row>
    <row r="54" spans="1:48" s="468" customFormat="1" ht="15.75">
      <c r="A54" s="544" t="s">
        <v>53</v>
      </c>
      <c r="B54" s="545" t="s">
        <v>54</v>
      </c>
      <c r="C54" s="458"/>
      <c r="D54" s="548"/>
      <c r="E54" s="548"/>
      <c r="F54" s="549"/>
      <c r="G54" s="548"/>
      <c r="H54" s="532"/>
      <c r="I54" s="514"/>
      <c r="J54" s="460"/>
      <c r="K54" s="489"/>
      <c r="L54" s="489"/>
      <c r="M54" s="514"/>
      <c r="N54" s="461"/>
      <c r="O54" s="464">
        <v>622.4</v>
      </c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5"/>
      <c r="AQ54" s="465"/>
      <c r="AR54" s="465"/>
      <c r="AS54" s="465"/>
      <c r="AT54" s="465"/>
      <c r="AU54" s="465"/>
      <c r="AV54" s="465"/>
    </row>
    <row r="55" spans="1:48" s="468" customFormat="1" ht="15.75">
      <c r="A55" s="458">
        <v>1</v>
      </c>
      <c r="B55" s="459" t="s">
        <v>55</v>
      </c>
      <c r="C55" s="458" t="s">
        <v>16</v>
      </c>
      <c r="D55" s="550">
        <v>622.42</v>
      </c>
      <c r="E55" s="551">
        <v>622.42</v>
      </c>
      <c r="F55" s="552">
        <v>622.62</v>
      </c>
      <c r="G55" s="551">
        <v>622.42</v>
      </c>
      <c r="H55" s="532">
        <v>622</v>
      </c>
      <c r="I55" s="553">
        <v>622.62</v>
      </c>
      <c r="J55" s="460">
        <f t="shared" si="0"/>
        <v>100.0321326435526</v>
      </c>
      <c r="K55" s="463">
        <f>F55/H55*100</f>
        <v>100.09967845659165</v>
      </c>
      <c r="L55" s="463">
        <f t="shared" si="2"/>
        <v>100</v>
      </c>
      <c r="M55" s="553"/>
      <c r="N55" s="461">
        <f>F55</f>
        <v>622.62</v>
      </c>
      <c r="O55" s="464">
        <v>1076.6</v>
      </c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5"/>
      <c r="AH55" s="465"/>
      <c r="AI55" s="465"/>
      <c r="AJ55" s="465"/>
      <c r="AK55" s="465"/>
      <c r="AL55" s="465"/>
      <c r="AM55" s="465"/>
      <c r="AN55" s="465"/>
      <c r="AO55" s="465"/>
      <c r="AP55" s="465"/>
      <c r="AQ55" s="465"/>
      <c r="AR55" s="465"/>
      <c r="AS55" s="465"/>
      <c r="AT55" s="465"/>
      <c r="AU55" s="465"/>
      <c r="AV55" s="465"/>
    </row>
    <row r="56" spans="1:48" s="468" customFormat="1" ht="15.75">
      <c r="A56" s="458">
        <v>2</v>
      </c>
      <c r="B56" s="459" t="s">
        <v>56</v>
      </c>
      <c r="C56" s="458" t="s">
        <v>19</v>
      </c>
      <c r="D56" s="554">
        <f>D57+D58</f>
        <v>1194</v>
      </c>
      <c r="E56" s="554">
        <f>E57+E58</f>
        <v>1266.62</v>
      </c>
      <c r="F56" s="555">
        <f>F57+F58</f>
        <v>674.38</v>
      </c>
      <c r="G56" s="554">
        <v>634.33</v>
      </c>
      <c r="H56" s="556">
        <v>1316.1</v>
      </c>
      <c r="I56" s="553">
        <f>I57+I58</f>
        <v>1316.5167999999999</v>
      </c>
      <c r="J56" s="460">
        <f t="shared" si="0"/>
        <v>106.31374836441599</v>
      </c>
      <c r="K56" s="463">
        <f>F56/H56*100</f>
        <v>51.24078717422689</v>
      </c>
      <c r="L56" s="463">
        <f t="shared" si="2"/>
        <v>51.22456469982002</v>
      </c>
      <c r="M56" s="553"/>
      <c r="N56" s="461">
        <f>I56</f>
        <v>1316.5167999999999</v>
      </c>
      <c r="O56" s="464">
        <v>1028</v>
      </c>
      <c r="P56" s="465"/>
      <c r="Q56" s="465"/>
      <c r="R56" s="465"/>
      <c r="S56" s="467">
        <f>319.53/I56*100</f>
        <v>24.270863843135157</v>
      </c>
      <c r="T56" s="467">
        <f>650.6/I56*100</f>
        <v>49.418283154457285</v>
      </c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5"/>
      <c r="AG56" s="465"/>
      <c r="AH56" s="465"/>
      <c r="AI56" s="465"/>
      <c r="AJ56" s="465"/>
      <c r="AK56" s="465"/>
      <c r="AL56" s="465"/>
      <c r="AM56" s="465"/>
      <c r="AN56" s="465"/>
      <c r="AO56" s="465"/>
      <c r="AP56" s="465"/>
      <c r="AQ56" s="465"/>
      <c r="AR56" s="465"/>
      <c r="AS56" s="465"/>
      <c r="AT56" s="465"/>
      <c r="AU56" s="465"/>
      <c r="AV56" s="465"/>
    </row>
    <row r="57" spans="1:48" s="50" customFormat="1" ht="15.75">
      <c r="A57" s="47"/>
      <c r="B57" s="7" t="s">
        <v>57</v>
      </c>
      <c r="C57" s="47" t="s">
        <v>19</v>
      </c>
      <c r="D57" s="90">
        <v>1144</v>
      </c>
      <c r="E57" s="90">
        <v>1213.5</v>
      </c>
      <c r="F57" s="443">
        <v>645.33</v>
      </c>
      <c r="G57" s="90">
        <v>607.48</v>
      </c>
      <c r="H57" s="406">
        <v>1265</v>
      </c>
      <c r="I57" s="195">
        <v>1262.6</v>
      </c>
      <c r="J57" s="485">
        <f t="shared" si="0"/>
        <v>106.23065779943373</v>
      </c>
      <c r="K57" s="489">
        <f>F57/H57*100</f>
        <v>51.014229249011855</v>
      </c>
      <c r="L57" s="489">
        <f t="shared" si="2"/>
        <v>51.11119911294155</v>
      </c>
      <c r="M57" s="195"/>
      <c r="N57" s="450">
        <f>I57</f>
        <v>1262.6</v>
      </c>
      <c r="O57" s="411">
        <v>48.5</v>
      </c>
      <c r="P57" s="410"/>
      <c r="Q57" s="410"/>
      <c r="R57" s="410"/>
      <c r="S57" s="410"/>
      <c r="T57" s="410"/>
      <c r="U57" s="410"/>
      <c r="V57" s="410"/>
      <c r="W57" s="410"/>
      <c r="X57" s="410"/>
      <c r="Y57" s="410"/>
      <c r="Z57" s="410"/>
      <c r="AA57" s="410"/>
      <c r="AB57" s="410"/>
      <c r="AC57" s="410"/>
      <c r="AD57" s="410"/>
      <c r="AE57" s="410"/>
      <c r="AF57" s="410"/>
      <c r="AG57" s="410"/>
      <c r="AH57" s="410"/>
      <c r="AI57" s="410"/>
      <c r="AJ57" s="410"/>
      <c r="AK57" s="410"/>
      <c r="AL57" s="410"/>
      <c r="AM57" s="410"/>
      <c r="AN57" s="410"/>
      <c r="AO57" s="410"/>
      <c r="AP57" s="410"/>
      <c r="AQ57" s="410"/>
      <c r="AR57" s="410"/>
      <c r="AS57" s="410"/>
      <c r="AT57" s="410"/>
      <c r="AU57" s="410"/>
      <c r="AV57" s="410"/>
    </row>
    <row r="58" spans="1:48" s="50" customFormat="1" ht="15.75">
      <c r="A58" s="47"/>
      <c r="B58" s="7" t="s">
        <v>58</v>
      </c>
      <c r="C58" s="47" t="str">
        <f>C57</f>
        <v>Tấn</v>
      </c>
      <c r="D58" s="62">
        <v>50</v>
      </c>
      <c r="E58" s="62">
        <v>53.12</v>
      </c>
      <c r="F58" s="444">
        <v>29.05</v>
      </c>
      <c r="G58" s="62">
        <v>26.85</v>
      </c>
      <c r="H58" s="116">
        <v>51.1</v>
      </c>
      <c r="I58" s="195">
        <v>53.916799999999995</v>
      </c>
      <c r="J58" s="485">
        <f t="shared" si="0"/>
        <v>108.19366852886405</v>
      </c>
      <c r="K58" s="489">
        <f>F58/H58*100</f>
        <v>56.849315068493155</v>
      </c>
      <c r="L58" s="489">
        <f t="shared" si="2"/>
        <v>53.879310344827594</v>
      </c>
      <c r="M58" s="195"/>
      <c r="N58" s="435">
        <f>I58</f>
        <v>53.916799999999995</v>
      </c>
      <c r="O58" s="411"/>
      <c r="P58" s="410"/>
      <c r="Q58" s="410"/>
      <c r="R58" s="410"/>
      <c r="S58" s="410"/>
      <c r="T58" s="410"/>
      <c r="U58" s="410"/>
      <c r="V58" s="410"/>
      <c r="W58" s="410"/>
      <c r="X58" s="410"/>
      <c r="Y58" s="410"/>
      <c r="Z58" s="410"/>
      <c r="AA58" s="410"/>
      <c r="AB58" s="410"/>
      <c r="AC58" s="410"/>
      <c r="AD58" s="410"/>
      <c r="AE58" s="410"/>
      <c r="AF58" s="410"/>
      <c r="AG58" s="410"/>
      <c r="AH58" s="410"/>
      <c r="AI58" s="410"/>
      <c r="AJ58" s="410"/>
      <c r="AK58" s="410"/>
      <c r="AL58" s="410"/>
      <c r="AM58" s="410"/>
      <c r="AN58" s="410"/>
      <c r="AO58" s="410"/>
      <c r="AP58" s="410"/>
      <c r="AQ58" s="410"/>
      <c r="AR58" s="410"/>
      <c r="AS58" s="410"/>
      <c r="AT58" s="410"/>
      <c r="AU58" s="410"/>
      <c r="AV58" s="410"/>
    </row>
    <row r="59" spans="1:48" s="468" customFormat="1" ht="16.5" customHeight="1">
      <c r="A59" s="544" t="s">
        <v>10</v>
      </c>
      <c r="B59" s="545" t="s">
        <v>59</v>
      </c>
      <c r="C59" s="544"/>
      <c r="D59" s="557"/>
      <c r="E59" s="558"/>
      <c r="F59" s="559"/>
      <c r="G59" s="558"/>
      <c r="H59" s="532"/>
      <c r="I59" s="560"/>
      <c r="J59" s="460"/>
      <c r="K59" s="463"/>
      <c r="L59" s="463"/>
      <c r="M59" s="560"/>
      <c r="N59" s="561"/>
      <c r="O59" s="464">
        <v>4500</v>
      </c>
      <c r="P59" s="465" t="e">
        <f>J59/I59</f>
        <v>#DIV/0!</v>
      </c>
      <c r="Q59" s="465"/>
      <c r="R59" s="465"/>
      <c r="S59" s="465"/>
      <c r="T59" s="465"/>
      <c r="U59" s="465"/>
      <c r="V59" s="465"/>
      <c r="W59" s="465"/>
      <c r="X59" s="465"/>
      <c r="Y59" s="465"/>
      <c r="Z59" s="465"/>
      <c r="AA59" s="465"/>
      <c r="AB59" s="465"/>
      <c r="AC59" s="465"/>
      <c r="AD59" s="465"/>
      <c r="AE59" s="465"/>
      <c r="AF59" s="465"/>
      <c r="AG59" s="465"/>
      <c r="AH59" s="465"/>
      <c r="AI59" s="465"/>
      <c r="AJ59" s="465"/>
      <c r="AK59" s="465"/>
      <c r="AL59" s="465"/>
      <c r="AM59" s="465"/>
      <c r="AN59" s="465"/>
      <c r="AO59" s="465"/>
      <c r="AP59" s="465"/>
      <c r="AQ59" s="465"/>
      <c r="AR59" s="465"/>
      <c r="AS59" s="465"/>
      <c r="AT59" s="465"/>
      <c r="AU59" s="465"/>
      <c r="AV59" s="465"/>
    </row>
    <row r="60" spans="1:48" s="468" customFormat="1" ht="15.75">
      <c r="A60" s="562">
        <v>1</v>
      </c>
      <c r="B60" s="563" t="s">
        <v>60</v>
      </c>
      <c r="C60" s="562" t="s">
        <v>39</v>
      </c>
      <c r="D60" s="564">
        <f>D63</f>
        <v>811.5</v>
      </c>
      <c r="E60" s="565">
        <v>553</v>
      </c>
      <c r="F60" s="566"/>
      <c r="G60" s="565">
        <v>150</v>
      </c>
      <c r="H60" s="532">
        <v>20</v>
      </c>
      <c r="I60" s="560"/>
      <c r="J60" s="460"/>
      <c r="K60" s="463"/>
      <c r="L60" s="463"/>
      <c r="M60" s="560"/>
      <c r="N60" s="567"/>
      <c r="O60" s="464"/>
      <c r="P60" s="465"/>
      <c r="Q60" s="465"/>
      <c r="R60" s="465"/>
      <c r="S60" s="465"/>
      <c r="T60" s="465"/>
      <c r="U60" s="465"/>
      <c r="V60" s="465"/>
      <c r="W60" s="465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465"/>
      <c r="AK60" s="465"/>
      <c r="AL60" s="465"/>
      <c r="AM60" s="465"/>
      <c r="AN60" s="465"/>
      <c r="AO60" s="465"/>
      <c r="AP60" s="465"/>
      <c r="AQ60" s="465"/>
      <c r="AR60" s="465"/>
      <c r="AS60" s="465"/>
      <c r="AT60" s="465"/>
      <c r="AU60" s="465"/>
      <c r="AV60" s="465"/>
    </row>
    <row r="61" spans="1:48" s="50" customFormat="1" ht="15.75">
      <c r="A61" s="19" t="s">
        <v>61</v>
      </c>
      <c r="B61" s="33" t="s">
        <v>62</v>
      </c>
      <c r="C61" s="19" t="s">
        <v>39</v>
      </c>
      <c r="D61" s="63"/>
      <c r="E61" s="188"/>
      <c r="F61" s="444"/>
      <c r="G61" s="188"/>
      <c r="H61" s="116">
        <v>20</v>
      </c>
      <c r="I61" s="193"/>
      <c r="J61" s="485"/>
      <c r="K61" s="489"/>
      <c r="L61" s="489"/>
      <c r="M61" s="193"/>
      <c r="N61" s="456"/>
      <c r="O61" s="411"/>
      <c r="P61" s="410"/>
      <c r="Q61" s="410"/>
      <c r="R61" s="410"/>
      <c r="S61" s="410"/>
      <c r="T61" s="410"/>
      <c r="U61" s="410"/>
      <c r="V61" s="410"/>
      <c r="W61" s="410"/>
      <c r="X61" s="410"/>
      <c r="Y61" s="410"/>
      <c r="Z61" s="410"/>
      <c r="AA61" s="410"/>
      <c r="AB61" s="410"/>
      <c r="AC61" s="410"/>
      <c r="AD61" s="410"/>
      <c r="AE61" s="410"/>
      <c r="AF61" s="410"/>
      <c r="AG61" s="410"/>
      <c r="AH61" s="410"/>
      <c r="AI61" s="410"/>
      <c r="AJ61" s="410"/>
      <c r="AK61" s="410"/>
      <c r="AL61" s="410"/>
      <c r="AM61" s="410"/>
      <c r="AN61" s="410"/>
      <c r="AO61" s="410"/>
      <c r="AP61" s="410"/>
      <c r="AQ61" s="410"/>
      <c r="AR61" s="410"/>
      <c r="AS61" s="410"/>
      <c r="AT61" s="410"/>
      <c r="AU61" s="410"/>
      <c r="AV61" s="410"/>
    </row>
    <row r="62" spans="1:48" s="50" customFormat="1" ht="15.75">
      <c r="A62" s="19" t="s">
        <v>61</v>
      </c>
      <c r="B62" s="33" t="s">
        <v>63</v>
      </c>
      <c r="C62" s="19" t="s">
        <v>39</v>
      </c>
      <c r="D62" s="63"/>
      <c r="E62" s="188"/>
      <c r="F62" s="444"/>
      <c r="G62" s="188"/>
      <c r="H62" s="116"/>
      <c r="I62" s="193"/>
      <c r="J62" s="485"/>
      <c r="K62" s="489"/>
      <c r="L62" s="489"/>
      <c r="M62" s="193"/>
      <c r="N62" s="456"/>
      <c r="O62" s="411">
        <v>4500</v>
      </c>
      <c r="P62" s="419" t="e">
        <f>#REF!/D59</f>
        <v>#REF!</v>
      </c>
      <c r="Q62" s="410"/>
      <c r="R62" s="410"/>
      <c r="S62" s="410"/>
      <c r="T62" s="410"/>
      <c r="U62" s="410"/>
      <c r="V62" s="410"/>
      <c r="W62" s="410"/>
      <c r="X62" s="410"/>
      <c r="Y62" s="410"/>
      <c r="Z62" s="410"/>
      <c r="AA62" s="410"/>
      <c r="AB62" s="410"/>
      <c r="AC62" s="410"/>
      <c r="AD62" s="410"/>
      <c r="AE62" s="410"/>
      <c r="AF62" s="410"/>
      <c r="AG62" s="410"/>
      <c r="AH62" s="410"/>
      <c r="AI62" s="410"/>
      <c r="AJ62" s="410"/>
      <c r="AK62" s="410"/>
      <c r="AL62" s="410"/>
      <c r="AM62" s="410"/>
      <c r="AN62" s="410"/>
      <c r="AO62" s="410"/>
      <c r="AP62" s="410"/>
      <c r="AQ62" s="410"/>
      <c r="AR62" s="410"/>
      <c r="AS62" s="410"/>
      <c r="AT62" s="410"/>
      <c r="AU62" s="410"/>
      <c r="AV62" s="410"/>
    </row>
    <row r="63" spans="1:48" s="50" customFormat="1" ht="27.75" customHeight="1">
      <c r="A63" s="13" t="s">
        <v>559</v>
      </c>
      <c r="B63" s="33" t="s">
        <v>560</v>
      </c>
      <c r="C63" s="19" t="s">
        <v>39</v>
      </c>
      <c r="D63" s="95">
        <v>811.5</v>
      </c>
      <c r="E63" s="189">
        <v>553</v>
      </c>
      <c r="F63" s="446"/>
      <c r="G63" s="189">
        <v>150</v>
      </c>
      <c r="H63" s="116"/>
      <c r="I63" s="192"/>
      <c r="J63" s="485"/>
      <c r="K63" s="489"/>
      <c r="L63" s="489"/>
      <c r="M63" s="192"/>
      <c r="N63" s="456"/>
      <c r="O63" s="411">
        <v>76501</v>
      </c>
      <c r="P63" s="410"/>
      <c r="Q63" s="410"/>
      <c r="R63" s="410"/>
      <c r="S63" s="410"/>
      <c r="T63" s="410"/>
      <c r="U63" s="410"/>
      <c r="V63" s="410"/>
      <c r="W63" s="410"/>
      <c r="X63" s="410"/>
      <c r="Y63" s="410"/>
      <c r="Z63" s="410"/>
      <c r="AA63" s="410"/>
      <c r="AB63" s="410"/>
      <c r="AC63" s="410"/>
      <c r="AD63" s="410"/>
      <c r="AE63" s="410"/>
      <c r="AF63" s="410"/>
      <c r="AG63" s="410"/>
      <c r="AH63" s="410"/>
      <c r="AI63" s="410"/>
      <c r="AJ63" s="410"/>
      <c r="AK63" s="410"/>
      <c r="AL63" s="410"/>
      <c r="AM63" s="410"/>
      <c r="AN63" s="410"/>
      <c r="AO63" s="410"/>
      <c r="AP63" s="410"/>
      <c r="AQ63" s="410"/>
      <c r="AR63" s="410"/>
      <c r="AS63" s="410"/>
      <c r="AT63" s="410"/>
      <c r="AU63" s="410"/>
      <c r="AV63" s="410"/>
    </row>
    <row r="64" spans="1:48" s="468" customFormat="1" ht="15.75">
      <c r="A64" s="562">
        <v>2</v>
      </c>
      <c r="B64" s="563" t="s">
        <v>598</v>
      </c>
      <c r="C64" s="562" t="s">
        <v>39</v>
      </c>
      <c r="D64" s="568">
        <v>75958.7</v>
      </c>
      <c r="E64" s="558">
        <f>72738.58+3272.64</f>
        <v>76011.22</v>
      </c>
      <c r="F64" s="559">
        <v>75731.95</v>
      </c>
      <c r="G64" s="558">
        <v>76011.22</v>
      </c>
      <c r="H64" s="569">
        <v>68614</v>
      </c>
      <c r="I64" s="570">
        <v>76011.22</v>
      </c>
      <c r="J64" s="460">
        <f t="shared" si="0"/>
        <v>99.63259371445426</v>
      </c>
      <c r="K64" s="463">
        <f>F64/H64*100</f>
        <v>110.37390328504387</v>
      </c>
      <c r="L64" s="463">
        <f t="shared" si="2"/>
        <v>99.63259371445426</v>
      </c>
      <c r="M64" s="570"/>
      <c r="N64" s="571">
        <f>F64</f>
        <v>75731.95</v>
      </c>
      <c r="O64" s="464"/>
      <c r="P64" s="465"/>
      <c r="Q64" s="465"/>
      <c r="R64" s="465"/>
      <c r="S64" s="465"/>
      <c r="T64" s="465"/>
      <c r="U64" s="465"/>
      <c r="V64" s="465"/>
      <c r="W64" s="465"/>
      <c r="X64" s="465"/>
      <c r="Y64" s="465"/>
      <c r="Z64" s="465"/>
      <c r="AA64" s="465"/>
      <c r="AB64" s="465"/>
      <c r="AC64" s="465"/>
      <c r="AD64" s="465"/>
      <c r="AE64" s="465"/>
      <c r="AF64" s="465"/>
      <c r="AG64" s="465"/>
      <c r="AH64" s="465"/>
      <c r="AI64" s="465"/>
      <c r="AJ64" s="465"/>
      <c r="AK64" s="465"/>
      <c r="AL64" s="465"/>
      <c r="AM64" s="465"/>
      <c r="AN64" s="465"/>
      <c r="AO64" s="465"/>
      <c r="AP64" s="465"/>
      <c r="AQ64" s="465"/>
      <c r="AR64" s="465"/>
      <c r="AS64" s="465"/>
      <c r="AT64" s="465"/>
      <c r="AU64" s="465"/>
      <c r="AV64" s="465"/>
    </row>
    <row r="65" spans="1:48" s="50" customFormat="1" ht="15.75">
      <c r="A65" s="19" t="s">
        <v>61</v>
      </c>
      <c r="B65" s="33" t="s">
        <v>599</v>
      </c>
      <c r="C65" s="19" t="s">
        <v>39</v>
      </c>
      <c r="D65" s="63">
        <v>5342.27</v>
      </c>
      <c r="E65" s="188">
        <f>E66+E67</f>
        <v>5265.969999999999</v>
      </c>
      <c r="F65" s="444">
        <f>F66+F67</f>
        <v>5265.99</v>
      </c>
      <c r="G65" s="188">
        <v>5279.96</v>
      </c>
      <c r="H65" s="116"/>
      <c r="I65" s="196">
        <v>5265.97</v>
      </c>
      <c r="J65" s="485">
        <f t="shared" si="0"/>
        <v>99.73541466223227</v>
      </c>
      <c r="K65" s="489"/>
      <c r="L65" s="489">
        <f t="shared" si="2"/>
        <v>100.00037979707442</v>
      </c>
      <c r="M65" s="196"/>
      <c r="N65" s="444">
        <f>N66+N67</f>
        <v>5265.99</v>
      </c>
      <c r="O65" s="411"/>
      <c r="P65" s="410"/>
      <c r="Q65" s="410">
        <v>76133</v>
      </c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410"/>
      <c r="AC65" s="410"/>
      <c r="AD65" s="410"/>
      <c r="AE65" s="410"/>
      <c r="AF65" s="410"/>
      <c r="AG65" s="410"/>
      <c r="AH65" s="410"/>
      <c r="AI65" s="410"/>
      <c r="AJ65" s="410"/>
      <c r="AK65" s="410"/>
      <c r="AL65" s="410"/>
      <c r="AM65" s="410"/>
      <c r="AN65" s="410"/>
      <c r="AO65" s="410"/>
      <c r="AP65" s="410"/>
      <c r="AQ65" s="410"/>
      <c r="AR65" s="410"/>
      <c r="AS65" s="410"/>
      <c r="AT65" s="410"/>
      <c r="AU65" s="410"/>
      <c r="AV65" s="410"/>
    </row>
    <row r="66" spans="1:48" s="510" customFormat="1" ht="15.75">
      <c r="A66" s="572" t="s">
        <v>64</v>
      </c>
      <c r="B66" s="573" t="s">
        <v>65</v>
      </c>
      <c r="C66" s="572" t="s">
        <v>39</v>
      </c>
      <c r="D66" s="574">
        <v>92.73</v>
      </c>
      <c r="E66" s="575">
        <v>533.99</v>
      </c>
      <c r="F66" s="576">
        <v>533.99</v>
      </c>
      <c r="G66" s="575">
        <v>535.15</v>
      </c>
      <c r="H66" s="538"/>
      <c r="I66" s="577">
        <v>533.99</v>
      </c>
      <c r="J66" s="512">
        <f t="shared" si="0"/>
        <v>99.78323834438942</v>
      </c>
      <c r="K66" s="513"/>
      <c r="L66" s="513">
        <f t="shared" si="2"/>
        <v>100</v>
      </c>
      <c r="M66" s="577"/>
      <c r="N66" s="578">
        <v>533.99</v>
      </c>
      <c r="O66" s="507"/>
      <c r="P66" s="508"/>
      <c r="Q66" s="508"/>
      <c r="R66" s="508"/>
      <c r="S66" s="508"/>
      <c r="T66" s="508"/>
      <c r="U66" s="508"/>
      <c r="V66" s="508"/>
      <c r="W66" s="508"/>
      <c r="X66" s="508"/>
      <c r="Y66" s="508"/>
      <c r="Z66" s="508"/>
      <c r="AA66" s="508"/>
      <c r="AB66" s="508"/>
      <c r="AC66" s="508"/>
      <c r="AD66" s="508"/>
      <c r="AE66" s="508"/>
      <c r="AF66" s="508"/>
      <c r="AG66" s="508"/>
      <c r="AH66" s="508"/>
      <c r="AI66" s="508"/>
      <c r="AJ66" s="508"/>
      <c r="AK66" s="508"/>
      <c r="AL66" s="508"/>
      <c r="AM66" s="508"/>
      <c r="AN66" s="508"/>
      <c r="AO66" s="508"/>
      <c r="AP66" s="508"/>
      <c r="AQ66" s="508"/>
      <c r="AR66" s="508"/>
      <c r="AS66" s="508"/>
      <c r="AT66" s="508"/>
      <c r="AU66" s="508"/>
      <c r="AV66" s="508"/>
    </row>
    <row r="67" spans="1:48" s="510" customFormat="1" ht="15.75">
      <c r="A67" s="572" t="s">
        <v>64</v>
      </c>
      <c r="B67" s="573" t="s">
        <v>66</v>
      </c>
      <c r="C67" s="572" t="s">
        <v>39</v>
      </c>
      <c r="D67" s="579">
        <v>5249.54</v>
      </c>
      <c r="E67" s="575">
        <v>4731.98</v>
      </c>
      <c r="F67" s="576">
        <v>4732</v>
      </c>
      <c r="G67" s="575">
        <v>4744.81</v>
      </c>
      <c r="H67" s="538"/>
      <c r="I67" s="577">
        <v>4731.98</v>
      </c>
      <c r="J67" s="512">
        <f t="shared" si="0"/>
        <v>99.73002080167592</v>
      </c>
      <c r="K67" s="513"/>
      <c r="L67" s="513">
        <f t="shared" si="2"/>
        <v>100.00042265605519</v>
      </c>
      <c r="M67" s="577"/>
      <c r="N67" s="580">
        <v>4732</v>
      </c>
      <c r="O67" s="507"/>
      <c r="P67" s="508"/>
      <c r="Q67" s="508"/>
      <c r="R67" s="508"/>
      <c r="S67" s="508"/>
      <c r="T67" s="508"/>
      <c r="U67" s="508"/>
      <c r="V67" s="508"/>
      <c r="W67" s="508"/>
      <c r="X67" s="508"/>
      <c r="Y67" s="508"/>
      <c r="Z67" s="508"/>
      <c r="AA67" s="508"/>
      <c r="AB67" s="508"/>
      <c r="AC67" s="508"/>
      <c r="AD67" s="508"/>
      <c r="AE67" s="508"/>
      <c r="AF67" s="508"/>
      <c r="AG67" s="508"/>
      <c r="AH67" s="508"/>
      <c r="AI67" s="508"/>
      <c r="AJ67" s="508"/>
      <c r="AK67" s="508"/>
      <c r="AL67" s="508"/>
      <c r="AM67" s="508"/>
      <c r="AN67" s="508"/>
      <c r="AO67" s="508"/>
      <c r="AP67" s="508"/>
      <c r="AQ67" s="508"/>
      <c r="AR67" s="508"/>
      <c r="AS67" s="508"/>
      <c r="AT67" s="508"/>
      <c r="AU67" s="508"/>
      <c r="AV67" s="508"/>
    </row>
    <row r="68" spans="1:48" s="510" customFormat="1" ht="15.75">
      <c r="A68" s="572" t="s">
        <v>61</v>
      </c>
      <c r="B68" s="573" t="s">
        <v>67</v>
      </c>
      <c r="C68" s="572" t="s">
        <v>39</v>
      </c>
      <c r="D68" s="579"/>
      <c r="E68" s="575"/>
      <c r="F68" s="576"/>
      <c r="G68" s="575"/>
      <c r="H68" s="538"/>
      <c r="I68" s="608"/>
      <c r="J68" s="512"/>
      <c r="K68" s="513"/>
      <c r="L68" s="513"/>
      <c r="M68" s="608"/>
      <c r="N68" s="576"/>
      <c r="O68" s="507">
        <v>720</v>
      </c>
      <c r="P68" s="508"/>
      <c r="Q68" s="508"/>
      <c r="R68" s="508"/>
      <c r="S68" s="508"/>
      <c r="T68" s="508"/>
      <c r="U68" s="508"/>
      <c r="V68" s="508"/>
      <c r="W68" s="508"/>
      <c r="X68" s="508"/>
      <c r="Y68" s="508"/>
      <c r="Z68" s="508"/>
      <c r="AA68" s="508"/>
      <c r="AB68" s="508"/>
      <c r="AC68" s="508"/>
      <c r="AD68" s="508"/>
      <c r="AE68" s="508"/>
      <c r="AF68" s="508"/>
      <c r="AG68" s="508"/>
      <c r="AH68" s="508"/>
      <c r="AI68" s="508"/>
      <c r="AJ68" s="508"/>
      <c r="AK68" s="508"/>
      <c r="AL68" s="508"/>
      <c r="AM68" s="508"/>
      <c r="AN68" s="508"/>
      <c r="AO68" s="508"/>
      <c r="AP68" s="508"/>
      <c r="AQ68" s="508"/>
      <c r="AR68" s="508"/>
      <c r="AS68" s="508"/>
      <c r="AT68" s="508"/>
      <c r="AU68" s="508"/>
      <c r="AV68" s="508"/>
    </row>
    <row r="69" spans="1:48" s="468" customFormat="1" ht="15.75">
      <c r="A69" s="562">
        <v>3</v>
      </c>
      <c r="B69" s="563" t="s">
        <v>68</v>
      </c>
      <c r="C69" s="562" t="s">
        <v>39</v>
      </c>
      <c r="D69" s="581">
        <v>553.4</v>
      </c>
      <c r="E69" s="582">
        <f>E70+E72</f>
        <v>532.52</v>
      </c>
      <c r="F69" s="583">
        <f>F70+F72</f>
        <v>450.07</v>
      </c>
      <c r="G69" s="582">
        <v>613.4</v>
      </c>
      <c r="H69" s="532">
        <v>390</v>
      </c>
      <c r="I69" s="570">
        <f>I72</f>
        <v>390.07</v>
      </c>
      <c r="J69" s="460">
        <f t="shared" si="0"/>
        <v>73.37300293446364</v>
      </c>
      <c r="K69" s="463">
        <f>F69/H69*100</f>
        <v>115.40256410256411</v>
      </c>
      <c r="L69" s="463">
        <f t="shared" si="2"/>
        <v>115.3818545389289</v>
      </c>
      <c r="M69" s="570"/>
      <c r="N69" s="584">
        <f>N70+N72</f>
        <v>450.07</v>
      </c>
      <c r="O69" s="464"/>
      <c r="P69" s="465"/>
      <c r="Q69" s="465">
        <v>653</v>
      </c>
      <c r="R69" s="465"/>
      <c r="S69" s="465"/>
      <c r="T69" s="465"/>
      <c r="U69" s="465"/>
      <c r="V69" s="465"/>
      <c r="W69" s="465"/>
      <c r="X69" s="465"/>
      <c r="Y69" s="465"/>
      <c r="Z69" s="465"/>
      <c r="AA69" s="465"/>
      <c r="AB69" s="465"/>
      <c r="AC69" s="465"/>
      <c r="AD69" s="465"/>
      <c r="AE69" s="465"/>
      <c r="AF69" s="465"/>
      <c r="AG69" s="465"/>
      <c r="AH69" s="465"/>
      <c r="AI69" s="465"/>
      <c r="AJ69" s="465"/>
      <c r="AK69" s="465"/>
      <c r="AL69" s="465"/>
      <c r="AM69" s="465"/>
      <c r="AN69" s="465"/>
      <c r="AO69" s="465"/>
      <c r="AP69" s="465"/>
      <c r="AQ69" s="465"/>
      <c r="AR69" s="465"/>
      <c r="AS69" s="465"/>
      <c r="AT69" s="465"/>
      <c r="AU69" s="465"/>
      <c r="AV69" s="465"/>
    </row>
    <row r="70" spans="1:48" s="510" customFormat="1" ht="18" customHeight="1">
      <c r="A70" s="572"/>
      <c r="B70" s="573" t="s">
        <v>69</v>
      </c>
      <c r="C70" s="572" t="s">
        <v>39</v>
      </c>
      <c r="D70" s="585">
        <v>35.05</v>
      </c>
      <c r="E70" s="586">
        <f>E71</f>
        <v>60</v>
      </c>
      <c r="F70" s="587"/>
      <c r="G70" s="586">
        <v>60</v>
      </c>
      <c r="H70" s="538"/>
      <c r="I70" s="577"/>
      <c r="J70" s="512"/>
      <c r="K70" s="513"/>
      <c r="L70" s="513"/>
      <c r="M70" s="577"/>
      <c r="N70" s="588"/>
      <c r="O70" s="507"/>
      <c r="P70" s="508"/>
      <c r="Q70" s="508"/>
      <c r="R70" s="508"/>
      <c r="S70" s="508"/>
      <c r="T70" s="508"/>
      <c r="U70" s="508"/>
      <c r="V70" s="508"/>
      <c r="W70" s="508"/>
      <c r="X70" s="508"/>
      <c r="Y70" s="508"/>
      <c r="Z70" s="508"/>
      <c r="AA70" s="508"/>
      <c r="AB70" s="508"/>
      <c r="AC70" s="508"/>
      <c r="AD70" s="508"/>
      <c r="AE70" s="508"/>
      <c r="AF70" s="508"/>
      <c r="AG70" s="508"/>
      <c r="AH70" s="508"/>
      <c r="AI70" s="508"/>
      <c r="AJ70" s="508"/>
      <c r="AK70" s="508"/>
      <c r="AL70" s="508"/>
      <c r="AM70" s="508"/>
      <c r="AN70" s="508"/>
      <c r="AO70" s="508"/>
      <c r="AP70" s="508"/>
      <c r="AQ70" s="508"/>
      <c r="AR70" s="508"/>
      <c r="AS70" s="508"/>
      <c r="AT70" s="508"/>
      <c r="AU70" s="508"/>
      <c r="AV70" s="508"/>
    </row>
    <row r="71" spans="1:48" s="510" customFormat="1" ht="33" customHeight="1">
      <c r="A71" s="572"/>
      <c r="B71" s="573" t="s">
        <v>664</v>
      </c>
      <c r="C71" s="572" t="s">
        <v>39</v>
      </c>
      <c r="D71" s="585"/>
      <c r="E71" s="586">
        <v>60</v>
      </c>
      <c r="F71" s="587"/>
      <c r="G71" s="586">
        <v>60</v>
      </c>
      <c r="H71" s="538"/>
      <c r="I71" s="577"/>
      <c r="J71" s="512"/>
      <c r="K71" s="513"/>
      <c r="L71" s="513"/>
      <c r="M71" s="577"/>
      <c r="N71" s="588"/>
      <c r="O71" s="507"/>
      <c r="P71" s="508"/>
      <c r="Q71" s="508"/>
      <c r="R71" s="508"/>
      <c r="S71" s="508"/>
      <c r="T71" s="508"/>
      <c r="U71" s="508"/>
      <c r="V71" s="508"/>
      <c r="W71" s="508"/>
      <c r="X71" s="508"/>
      <c r="Y71" s="508"/>
      <c r="Z71" s="508"/>
      <c r="AA71" s="508"/>
      <c r="AB71" s="508"/>
      <c r="AC71" s="508"/>
      <c r="AD71" s="508"/>
      <c r="AE71" s="508"/>
      <c r="AF71" s="508"/>
      <c r="AG71" s="508"/>
      <c r="AH71" s="508"/>
      <c r="AI71" s="508"/>
      <c r="AJ71" s="508"/>
      <c r="AK71" s="508"/>
      <c r="AL71" s="508"/>
      <c r="AM71" s="508"/>
      <c r="AN71" s="508"/>
      <c r="AO71" s="508"/>
      <c r="AP71" s="508"/>
      <c r="AQ71" s="508"/>
      <c r="AR71" s="508"/>
      <c r="AS71" s="508"/>
      <c r="AT71" s="508"/>
      <c r="AU71" s="508"/>
      <c r="AV71" s="508"/>
    </row>
    <row r="72" spans="1:48" s="510" customFormat="1" ht="18" customHeight="1">
      <c r="A72" s="572"/>
      <c r="B72" s="573" t="s">
        <v>70</v>
      </c>
      <c r="C72" s="572" t="s">
        <v>39</v>
      </c>
      <c r="D72" s="579">
        <v>518.35</v>
      </c>
      <c r="E72" s="575">
        <f>208.83+263.69</f>
        <v>472.52</v>
      </c>
      <c r="F72" s="576">
        <f>F73+F74</f>
        <v>450.07</v>
      </c>
      <c r="G72" s="575">
        <v>533.4</v>
      </c>
      <c r="H72" s="538"/>
      <c r="I72" s="589">
        <f>I73+I74</f>
        <v>390.07</v>
      </c>
      <c r="J72" s="512">
        <f t="shared" si="0"/>
        <v>84.37757780277465</v>
      </c>
      <c r="K72" s="513"/>
      <c r="L72" s="513">
        <f t="shared" si="2"/>
        <v>115.3818545389289</v>
      </c>
      <c r="M72" s="589"/>
      <c r="N72" s="578">
        <f>N73+N74</f>
        <v>450.07</v>
      </c>
      <c r="O72" s="507"/>
      <c r="P72" s="508"/>
      <c r="Q72" s="508"/>
      <c r="R72" s="508"/>
      <c r="S72" s="508"/>
      <c r="T72" s="508"/>
      <c r="U72" s="508"/>
      <c r="V72" s="508"/>
      <c r="W72" s="508"/>
      <c r="X72" s="508"/>
      <c r="Y72" s="508"/>
      <c r="Z72" s="508"/>
      <c r="AA72" s="508"/>
      <c r="AB72" s="508"/>
      <c r="AC72" s="508"/>
      <c r="AD72" s="508"/>
      <c r="AE72" s="508"/>
      <c r="AF72" s="508"/>
      <c r="AG72" s="508"/>
      <c r="AH72" s="508"/>
      <c r="AI72" s="508"/>
      <c r="AJ72" s="508"/>
      <c r="AK72" s="508"/>
      <c r="AL72" s="508"/>
      <c r="AM72" s="508"/>
      <c r="AN72" s="508"/>
      <c r="AO72" s="508"/>
      <c r="AP72" s="508"/>
      <c r="AQ72" s="508"/>
      <c r="AR72" s="508"/>
      <c r="AS72" s="508"/>
      <c r="AT72" s="508"/>
      <c r="AU72" s="508"/>
      <c r="AV72" s="508"/>
    </row>
    <row r="73" spans="1:48" s="510" customFormat="1" ht="18" customHeight="1">
      <c r="A73" s="572"/>
      <c r="B73" s="573" t="s">
        <v>680</v>
      </c>
      <c r="C73" s="572"/>
      <c r="D73" s="579"/>
      <c r="E73" s="575"/>
      <c r="F73" s="576">
        <v>201.43</v>
      </c>
      <c r="G73" s="575"/>
      <c r="H73" s="538"/>
      <c r="I73" s="589">
        <v>201.43</v>
      </c>
      <c r="J73" s="512"/>
      <c r="K73" s="513"/>
      <c r="L73" s="513">
        <f t="shared" si="2"/>
        <v>100</v>
      </c>
      <c r="M73" s="589"/>
      <c r="N73" s="578">
        <v>201.43</v>
      </c>
      <c r="O73" s="507"/>
      <c r="P73" s="508"/>
      <c r="Q73" s="508"/>
      <c r="R73" s="508"/>
      <c r="S73" s="508"/>
      <c r="T73" s="508"/>
      <c r="U73" s="508"/>
      <c r="V73" s="508"/>
      <c r="W73" s="508"/>
      <c r="X73" s="508"/>
      <c r="Y73" s="508"/>
      <c r="Z73" s="508"/>
      <c r="AA73" s="508"/>
      <c r="AB73" s="508"/>
      <c r="AC73" s="508"/>
      <c r="AD73" s="508"/>
      <c r="AE73" s="508"/>
      <c r="AF73" s="508"/>
      <c r="AG73" s="508"/>
      <c r="AH73" s="508"/>
      <c r="AI73" s="508"/>
      <c r="AJ73" s="508"/>
      <c r="AK73" s="508"/>
      <c r="AL73" s="508"/>
      <c r="AM73" s="508"/>
      <c r="AN73" s="508"/>
      <c r="AO73" s="508"/>
      <c r="AP73" s="508"/>
      <c r="AQ73" s="508"/>
      <c r="AR73" s="508"/>
      <c r="AS73" s="508"/>
      <c r="AT73" s="508"/>
      <c r="AU73" s="508"/>
      <c r="AV73" s="508"/>
    </row>
    <row r="74" spans="1:48" s="510" customFormat="1" ht="18" customHeight="1">
      <c r="A74" s="572"/>
      <c r="B74" s="573" t="s">
        <v>681</v>
      </c>
      <c r="C74" s="572"/>
      <c r="D74" s="579"/>
      <c r="E74" s="575"/>
      <c r="F74" s="576">
        <f>188.64+60</f>
        <v>248.64</v>
      </c>
      <c r="G74" s="575"/>
      <c r="H74" s="538"/>
      <c r="I74" s="589">
        <v>188.64</v>
      </c>
      <c r="J74" s="512"/>
      <c r="K74" s="513"/>
      <c r="L74" s="513">
        <f t="shared" si="2"/>
        <v>131.80661577608143</v>
      </c>
      <c r="M74" s="589"/>
      <c r="N74" s="578">
        <f>188.64+60</f>
        <v>248.64</v>
      </c>
      <c r="O74" s="507"/>
      <c r="P74" s="508"/>
      <c r="Q74" s="508"/>
      <c r="R74" s="508"/>
      <c r="S74" s="508"/>
      <c r="T74" s="508"/>
      <c r="U74" s="508"/>
      <c r="V74" s="508"/>
      <c r="W74" s="508"/>
      <c r="X74" s="508"/>
      <c r="Y74" s="508"/>
      <c r="Z74" s="508"/>
      <c r="AA74" s="508"/>
      <c r="AB74" s="508"/>
      <c r="AC74" s="508"/>
      <c r="AD74" s="508"/>
      <c r="AE74" s="508"/>
      <c r="AF74" s="508"/>
      <c r="AG74" s="508"/>
      <c r="AH74" s="508"/>
      <c r="AI74" s="508"/>
      <c r="AJ74" s="508"/>
      <c r="AK74" s="508"/>
      <c r="AL74" s="508"/>
      <c r="AM74" s="508"/>
      <c r="AN74" s="508"/>
      <c r="AO74" s="508"/>
      <c r="AP74" s="508"/>
      <c r="AQ74" s="508"/>
      <c r="AR74" s="508"/>
      <c r="AS74" s="508"/>
      <c r="AT74" s="508"/>
      <c r="AU74" s="508"/>
      <c r="AV74" s="508"/>
    </row>
    <row r="75" spans="1:48" s="66" customFormat="1" ht="20.25" customHeight="1">
      <c r="A75" s="10">
        <v>4</v>
      </c>
      <c r="B75" s="23" t="s">
        <v>561</v>
      </c>
      <c r="C75" s="10" t="s">
        <v>39</v>
      </c>
      <c r="D75" s="65"/>
      <c r="E75" s="190"/>
      <c r="F75" s="445"/>
      <c r="G75" s="190">
        <v>61.74</v>
      </c>
      <c r="H75" s="390"/>
      <c r="I75" s="193"/>
      <c r="J75" s="460"/>
      <c r="K75" s="463"/>
      <c r="L75" s="463"/>
      <c r="M75" s="193"/>
      <c r="N75" s="457"/>
      <c r="O75" s="590">
        <v>54.4</v>
      </c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91"/>
      <c r="AS75" s="591"/>
      <c r="AT75" s="591"/>
      <c r="AU75" s="591"/>
      <c r="AV75" s="591"/>
    </row>
    <row r="76" spans="1:48" s="66" customFormat="1" ht="20.25" customHeight="1">
      <c r="A76" s="10">
        <v>5</v>
      </c>
      <c r="B76" s="23" t="s">
        <v>71</v>
      </c>
      <c r="C76" s="10" t="s">
        <v>23</v>
      </c>
      <c r="D76" s="65">
        <v>54.44</v>
      </c>
      <c r="E76" s="65">
        <v>54.44</v>
      </c>
      <c r="F76" s="445">
        <v>54.44</v>
      </c>
      <c r="G76" s="65">
        <v>54.44</v>
      </c>
      <c r="H76" s="65">
        <v>55.5</v>
      </c>
      <c r="I76" s="185">
        <v>55</v>
      </c>
      <c r="J76" s="460">
        <f>F76/G76*100</f>
        <v>100</v>
      </c>
      <c r="K76" s="463">
        <f>F76/H76*100</f>
        <v>98.09009009009009</v>
      </c>
      <c r="L76" s="463">
        <f t="shared" si="2"/>
        <v>98.98181818181818</v>
      </c>
      <c r="M76" s="185"/>
      <c r="N76" s="457">
        <v>55</v>
      </c>
      <c r="O76" s="590"/>
      <c r="P76" s="591"/>
      <c r="Q76" s="591">
        <v>54.8</v>
      </c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91"/>
      <c r="AS76" s="591"/>
      <c r="AT76" s="591"/>
      <c r="AU76" s="591"/>
      <c r="AV76" s="591"/>
    </row>
    <row r="77" spans="1:48" s="66" customFormat="1" ht="20.25" customHeight="1">
      <c r="A77" s="10">
        <v>6</v>
      </c>
      <c r="B77" s="23" t="s">
        <v>562</v>
      </c>
      <c r="C77" s="10" t="s">
        <v>563</v>
      </c>
      <c r="D77" s="67">
        <v>5225</v>
      </c>
      <c r="E77" s="67">
        <v>1699</v>
      </c>
      <c r="F77" s="447">
        <v>60</v>
      </c>
      <c r="G77" s="67">
        <v>813</v>
      </c>
      <c r="H77" s="390"/>
      <c r="I77" s="194">
        <v>1000</v>
      </c>
      <c r="J77" s="460">
        <f>F77/G77*100</f>
        <v>7.380073800738007</v>
      </c>
      <c r="K77" s="463"/>
      <c r="L77" s="463">
        <f t="shared" si="2"/>
        <v>6</v>
      </c>
      <c r="M77" s="194"/>
      <c r="N77" s="447">
        <v>900</v>
      </c>
      <c r="O77" s="590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91"/>
      <c r="AS77" s="591"/>
      <c r="AT77" s="591"/>
      <c r="AU77" s="591"/>
      <c r="AV77" s="591"/>
    </row>
    <row r="78" spans="1:48" s="66" customFormat="1" ht="24" customHeight="1">
      <c r="A78" s="198" t="s">
        <v>11</v>
      </c>
      <c r="B78" s="199" t="s">
        <v>668</v>
      </c>
      <c r="C78" s="10"/>
      <c r="D78" s="67"/>
      <c r="E78" s="67"/>
      <c r="F78" s="67"/>
      <c r="G78" s="67"/>
      <c r="H78" s="390"/>
      <c r="I78" s="56"/>
      <c r="J78" s="56"/>
      <c r="K78" s="463"/>
      <c r="L78" s="463"/>
      <c r="M78" s="56"/>
      <c r="N78" s="67"/>
      <c r="O78" s="592"/>
      <c r="P78" s="593"/>
      <c r="Q78" s="593"/>
      <c r="R78" s="593"/>
      <c r="S78" s="593"/>
      <c r="T78" s="593"/>
      <c r="U78" s="593"/>
      <c r="V78" s="593"/>
      <c r="W78" s="593"/>
      <c r="X78" s="593"/>
      <c r="Y78" s="593"/>
      <c r="Z78" s="593"/>
      <c r="AA78" s="593"/>
      <c r="AB78" s="593"/>
      <c r="AC78" s="593"/>
      <c r="AD78" s="593"/>
      <c r="AE78" s="593"/>
      <c r="AF78" s="593"/>
      <c r="AG78" s="593"/>
      <c r="AH78" s="593"/>
      <c r="AI78" s="593"/>
      <c r="AJ78" s="593"/>
      <c r="AK78" s="593"/>
      <c r="AL78" s="593"/>
      <c r="AM78" s="593"/>
      <c r="AN78" s="593"/>
      <c r="AO78" s="593"/>
      <c r="AP78" s="593"/>
      <c r="AQ78" s="593"/>
      <c r="AR78" s="593"/>
      <c r="AS78" s="593"/>
      <c r="AT78" s="593"/>
      <c r="AU78" s="593"/>
      <c r="AV78" s="593"/>
    </row>
    <row r="79" spans="1:48" s="66" customFormat="1" ht="15.75">
      <c r="A79" s="200">
        <v>1</v>
      </c>
      <c r="B79" s="201" t="s">
        <v>613</v>
      </c>
      <c r="C79" s="107"/>
      <c r="D79" s="67"/>
      <c r="E79" s="67"/>
      <c r="F79" s="67"/>
      <c r="G79" s="67"/>
      <c r="H79" s="390"/>
      <c r="I79" s="56"/>
      <c r="J79" s="56"/>
      <c r="K79" s="55"/>
      <c r="L79" s="55"/>
      <c r="M79" s="56"/>
      <c r="N79" s="67"/>
      <c r="O79" s="592"/>
      <c r="P79" s="593"/>
      <c r="Q79" s="593"/>
      <c r="R79" s="593"/>
      <c r="S79" s="593"/>
      <c r="T79" s="593"/>
      <c r="U79" s="593"/>
      <c r="V79" s="593"/>
      <c r="W79" s="593"/>
      <c r="X79" s="593"/>
      <c r="Y79" s="593"/>
      <c r="Z79" s="593"/>
      <c r="AA79" s="593"/>
      <c r="AB79" s="593"/>
      <c r="AC79" s="593"/>
      <c r="AD79" s="593"/>
      <c r="AE79" s="593"/>
      <c r="AF79" s="593"/>
      <c r="AG79" s="593"/>
      <c r="AH79" s="593"/>
      <c r="AI79" s="593"/>
      <c r="AJ79" s="593"/>
      <c r="AK79" s="593"/>
      <c r="AL79" s="593"/>
      <c r="AM79" s="593"/>
      <c r="AN79" s="593"/>
      <c r="AO79" s="593"/>
      <c r="AP79" s="593"/>
      <c r="AQ79" s="593"/>
      <c r="AR79" s="593"/>
      <c r="AS79" s="593"/>
      <c r="AT79" s="593"/>
      <c r="AU79" s="593"/>
      <c r="AV79" s="593"/>
    </row>
    <row r="80" spans="1:48" s="50" customFormat="1" ht="43.5" customHeight="1">
      <c r="A80" s="105" t="s">
        <v>125</v>
      </c>
      <c r="B80" s="382" t="s">
        <v>614</v>
      </c>
      <c r="C80" s="97" t="s">
        <v>613</v>
      </c>
      <c r="D80" s="64">
        <v>54</v>
      </c>
      <c r="E80" s="343">
        <v>55</v>
      </c>
      <c r="F80" s="343">
        <v>55</v>
      </c>
      <c r="G80" s="343">
        <v>55</v>
      </c>
      <c r="H80" s="116"/>
      <c r="I80" s="64">
        <v>55</v>
      </c>
      <c r="J80" s="48">
        <f>F80/G80*100</f>
        <v>100</v>
      </c>
      <c r="K80" s="49"/>
      <c r="L80" s="49">
        <f>F80/I80*100</f>
        <v>100</v>
      </c>
      <c r="M80" s="64"/>
      <c r="N80" s="64">
        <v>55</v>
      </c>
      <c r="O80" s="411"/>
      <c r="P80" s="410"/>
      <c r="Q80" s="410"/>
      <c r="R80" s="409" t="s">
        <v>677</v>
      </c>
      <c r="S80" s="410"/>
      <c r="T80" s="410"/>
      <c r="U80" s="410"/>
      <c r="V80" s="410"/>
      <c r="W80" s="410"/>
      <c r="X80" s="410"/>
      <c r="Y80" s="410"/>
      <c r="Z80" s="410"/>
      <c r="AA80" s="410"/>
      <c r="AB80" s="410"/>
      <c r="AC80" s="410"/>
      <c r="AD80" s="410"/>
      <c r="AE80" s="410"/>
      <c r="AF80" s="410"/>
      <c r="AG80" s="410"/>
      <c r="AH80" s="410"/>
      <c r="AI80" s="410"/>
      <c r="AJ80" s="410"/>
      <c r="AK80" s="410"/>
      <c r="AL80" s="410"/>
      <c r="AM80" s="410"/>
      <c r="AN80" s="410"/>
      <c r="AO80" s="410"/>
      <c r="AP80" s="410"/>
      <c r="AQ80" s="410"/>
      <c r="AR80" s="410"/>
      <c r="AS80" s="410"/>
      <c r="AT80" s="410"/>
      <c r="AU80" s="410"/>
      <c r="AV80" s="410"/>
    </row>
    <row r="81" spans="1:48" s="50" customFormat="1" ht="50.25" customHeight="1">
      <c r="A81" s="105" t="s">
        <v>131</v>
      </c>
      <c r="B81" s="98" t="s">
        <v>615</v>
      </c>
      <c r="C81" s="97" t="s">
        <v>242</v>
      </c>
      <c r="D81" s="64">
        <v>4746</v>
      </c>
      <c r="E81" s="64">
        <v>4795</v>
      </c>
      <c r="F81" s="64">
        <f>E81</f>
        <v>4795</v>
      </c>
      <c r="G81" s="64"/>
      <c r="H81" s="116"/>
      <c r="I81" s="64">
        <v>4795</v>
      </c>
      <c r="J81" s="48"/>
      <c r="K81" s="49"/>
      <c r="L81" s="49">
        <f>F81/I81*100</f>
        <v>100</v>
      </c>
      <c r="M81" s="64"/>
      <c r="N81" s="64">
        <v>4795</v>
      </c>
      <c r="O81" s="411"/>
      <c r="P81" s="410"/>
      <c r="Q81" s="410"/>
      <c r="R81" s="410"/>
      <c r="S81" s="410"/>
      <c r="T81" s="410"/>
      <c r="U81" s="410"/>
      <c r="V81" s="410"/>
      <c r="W81" s="410"/>
      <c r="X81" s="410"/>
      <c r="Y81" s="410"/>
      <c r="Z81" s="410"/>
      <c r="AA81" s="410"/>
      <c r="AB81" s="410"/>
      <c r="AC81" s="410"/>
      <c r="AD81" s="410"/>
      <c r="AE81" s="410"/>
      <c r="AF81" s="410"/>
      <c r="AG81" s="410"/>
      <c r="AH81" s="410"/>
      <c r="AI81" s="410"/>
      <c r="AJ81" s="410"/>
      <c r="AK81" s="410"/>
      <c r="AL81" s="410"/>
      <c r="AM81" s="410"/>
      <c r="AN81" s="410"/>
      <c r="AO81" s="410"/>
      <c r="AP81" s="410"/>
      <c r="AQ81" s="410"/>
      <c r="AR81" s="410"/>
      <c r="AS81" s="410"/>
      <c r="AT81" s="410"/>
      <c r="AU81" s="410"/>
      <c r="AV81" s="410"/>
    </row>
    <row r="82" spans="1:48" s="50" customFormat="1" ht="31.5">
      <c r="A82" s="105" t="s">
        <v>136</v>
      </c>
      <c r="B82" s="100" t="s">
        <v>616</v>
      </c>
      <c r="C82" s="97" t="s">
        <v>613</v>
      </c>
      <c r="D82" s="64">
        <v>7</v>
      </c>
      <c r="E82" s="59"/>
      <c r="F82" s="59"/>
      <c r="G82" s="59"/>
      <c r="H82" s="116"/>
      <c r="I82" s="64">
        <v>2</v>
      </c>
      <c r="J82" s="48"/>
      <c r="K82" s="49"/>
      <c r="L82" s="49"/>
      <c r="M82" s="64"/>
      <c r="N82" s="64">
        <v>2</v>
      </c>
      <c r="O82" s="411"/>
      <c r="P82" s="410"/>
      <c r="Q82" s="410"/>
      <c r="R82" s="410"/>
      <c r="S82" s="410"/>
      <c r="T82" s="410"/>
      <c r="U82" s="410"/>
      <c r="V82" s="410"/>
      <c r="W82" s="410"/>
      <c r="X82" s="410"/>
      <c r="Y82" s="410"/>
      <c r="Z82" s="410"/>
      <c r="AA82" s="410"/>
      <c r="AB82" s="410"/>
      <c r="AC82" s="410"/>
      <c r="AD82" s="410"/>
      <c r="AE82" s="410"/>
      <c r="AF82" s="410"/>
      <c r="AG82" s="410"/>
      <c r="AH82" s="410"/>
      <c r="AI82" s="410"/>
      <c r="AJ82" s="410"/>
      <c r="AK82" s="410"/>
      <c r="AL82" s="410"/>
      <c r="AM82" s="410"/>
      <c r="AN82" s="410"/>
      <c r="AO82" s="410"/>
      <c r="AP82" s="410"/>
      <c r="AQ82" s="410"/>
      <c r="AR82" s="410"/>
      <c r="AS82" s="410"/>
      <c r="AT82" s="410"/>
      <c r="AU82" s="410"/>
      <c r="AV82" s="410"/>
    </row>
    <row r="83" spans="1:48" s="50" customFormat="1" ht="15.75">
      <c r="A83" s="106" t="s">
        <v>665</v>
      </c>
      <c r="B83" s="101" t="s">
        <v>617</v>
      </c>
      <c r="C83" s="97" t="s">
        <v>593</v>
      </c>
      <c r="D83" s="64">
        <v>1</v>
      </c>
      <c r="E83" s="59"/>
      <c r="F83" s="59"/>
      <c r="G83" s="59"/>
      <c r="H83" s="116"/>
      <c r="I83" s="64"/>
      <c r="J83" s="48"/>
      <c r="K83" s="49"/>
      <c r="L83" s="49"/>
      <c r="M83" s="64"/>
      <c r="N83" s="64"/>
      <c r="O83" s="411"/>
      <c r="P83" s="410"/>
      <c r="Q83" s="410"/>
      <c r="R83" s="410"/>
      <c r="S83" s="410"/>
      <c r="T83" s="410"/>
      <c r="U83" s="410"/>
      <c r="V83" s="410"/>
      <c r="W83" s="410"/>
      <c r="X83" s="410"/>
      <c r="Y83" s="410"/>
      <c r="Z83" s="410"/>
      <c r="AA83" s="410"/>
      <c r="AB83" s="410"/>
      <c r="AC83" s="410"/>
      <c r="AD83" s="410"/>
      <c r="AE83" s="410"/>
      <c r="AF83" s="410"/>
      <c r="AG83" s="410"/>
      <c r="AH83" s="410"/>
      <c r="AI83" s="410"/>
      <c r="AJ83" s="410"/>
      <c r="AK83" s="410"/>
      <c r="AL83" s="410"/>
      <c r="AM83" s="410"/>
      <c r="AN83" s="410"/>
      <c r="AO83" s="410"/>
      <c r="AP83" s="410"/>
      <c r="AQ83" s="410"/>
      <c r="AR83" s="410"/>
      <c r="AS83" s="410"/>
      <c r="AT83" s="410"/>
      <c r="AU83" s="410"/>
      <c r="AV83" s="410"/>
    </row>
    <row r="84" spans="1:48" s="50" customFormat="1" ht="15.75">
      <c r="A84" s="106" t="s">
        <v>666</v>
      </c>
      <c r="B84" s="101" t="s">
        <v>653</v>
      </c>
      <c r="C84" s="97" t="s">
        <v>626</v>
      </c>
      <c r="D84" s="64"/>
      <c r="E84" s="64"/>
      <c r="F84" s="64"/>
      <c r="G84" s="64"/>
      <c r="H84" s="116"/>
      <c r="I84" s="64"/>
      <c r="J84" s="48"/>
      <c r="K84" s="49"/>
      <c r="L84" s="49"/>
      <c r="M84" s="64"/>
      <c r="N84" s="64"/>
      <c r="O84" s="411"/>
      <c r="P84" s="410"/>
      <c r="Q84" s="410"/>
      <c r="R84" s="410"/>
      <c r="S84" s="410"/>
      <c r="T84" s="410"/>
      <c r="U84" s="410"/>
      <c r="V84" s="410"/>
      <c r="W84" s="410"/>
      <c r="X84" s="410"/>
      <c r="Y84" s="410"/>
      <c r="Z84" s="410"/>
      <c r="AA84" s="410"/>
      <c r="AB84" s="410"/>
      <c r="AC84" s="410"/>
      <c r="AD84" s="410"/>
      <c r="AE84" s="410"/>
      <c r="AF84" s="410"/>
      <c r="AG84" s="410"/>
      <c r="AH84" s="410"/>
      <c r="AI84" s="410"/>
      <c r="AJ84" s="410"/>
      <c r="AK84" s="410"/>
      <c r="AL84" s="410"/>
      <c r="AM84" s="410"/>
      <c r="AN84" s="410"/>
      <c r="AO84" s="410"/>
      <c r="AP84" s="410"/>
      <c r="AQ84" s="410"/>
      <c r="AR84" s="410"/>
      <c r="AS84" s="410"/>
      <c r="AT84" s="410"/>
      <c r="AU84" s="410"/>
      <c r="AV84" s="410"/>
    </row>
    <row r="85" spans="1:48" s="50" customFormat="1" ht="18.75" customHeight="1">
      <c r="A85" s="106" t="s">
        <v>667</v>
      </c>
      <c r="B85" s="110" t="s">
        <v>618</v>
      </c>
      <c r="C85" s="97" t="s">
        <v>627</v>
      </c>
      <c r="D85" s="64">
        <v>28</v>
      </c>
      <c r="E85" s="64">
        <v>30</v>
      </c>
      <c r="F85" s="64">
        <f>E85</f>
        <v>30</v>
      </c>
      <c r="G85" s="64">
        <v>28</v>
      </c>
      <c r="H85" s="116"/>
      <c r="I85" s="64">
        <v>31</v>
      </c>
      <c r="J85" s="48">
        <f>F85/G85*100</f>
        <v>107.14285714285714</v>
      </c>
      <c r="K85" s="49"/>
      <c r="L85" s="49">
        <f>F85/I85*100</f>
        <v>96.7741935483871</v>
      </c>
      <c r="M85" s="64"/>
      <c r="N85" s="64">
        <v>31</v>
      </c>
      <c r="O85" s="411"/>
      <c r="P85" s="410"/>
      <c r="Q85" s="410"/>
      <c r="R85" s="410"/>
      <c r="S85" s="410"/>
      <c r="T85" s="410"/>
      <c r="U85" s="410"/>
      <c r="V85" s="410"/>
      <c r="W85" s="410"/>
      <c r="X85" s="410"/>
      <c r="Y85" s="410"/>
      <c r="Z85" s="410"/>
      <c r="AA85" s="410"/>
      <c r="AB85" s="410"/>
      <c r="AC85" s="410"/>
      <c r="AD85" s="410"/>
      <c r="AE85" s="410"/>
      <c r="AF85" s="410"/>
      <c r="AG85" s="410"/>
      <c r="AH85" s="410"/>
      <c r="AI85" s="410"/>
      <c r="AJ85" s="410"/>
      <c r="AK85" s="410"/>
      <c r="AL85" s="410"/>
      <c r="AM85" s="410"/>
      <c r="AN85" s="410"/>
      <c r="AO85" s="410"/>
      <c r="AP85" s="410"/>
      <c r="AQ85" s="410"/>
      <c r="AR85" s="410"/>
      <c r="AS85" s="410"/>
      <c r="AT85" s="410"/>
      <c r="AU85" s="410"/>
      <c r="AV85" s="410"/>
    </row>
    <row r="86" spans="1:48" s="108" customFormat="1" ht="15.75">
      <c r="A86" s="111">
        <v>2</v>
      </c>
      <c r="B86" s="168" t="s">
        <v>619</v>
      </c>
      <c r="C86" s="99"/>
      <c r="D86" s="67"/>
      <c r="E86" s="67"/>
      <c r="F86" s="67"/>
      <c r="G86" s="67"/>
      <c r="H86" s="390"/>
      <c r="I86" s="67"/>
      <c r="J86" s="67"/>
      <c r="K86" s="49"/>
      <c r="L86" s="49"/>
      <c r="M86" s="67"/>
      <c r="N86" s="67"/>
      <c r="O86" s="412"/>
      <c r="P86" s="413"/>
      <c r="Q86" s="413"/>
      <c r="R86" s="413"/>
      <c r="S86" s="413"/>
      <c r="T86" s="413"/>
      <c r="U86" s="413"/>
      <c r="V86" s="413"/>
      <c r="W86" s="413"/>
      <c r="X86" s="413"/>
      <c r="Y86" s="413"/>
      <c r="Z86" s="413"/>
      <c r="AA86" s="413"/>
      <c r="AB86" s="413"/>
      <c r="AC86" s="413"/>
      <c r="AD86" s="413"/>
      <c r="AE86" s="413"/>
      <c r="AF86" s="413"/>
      <c r="AG86" s="413"/>
      <c r="AH86" s="413"/>
      <c r="AI86" s="413"/>
      <c r="AJ86" s="413"/>
      <c r="AK86" s="413"/>
      <c r="AL86" s="413"/>
      <c r="AM86" s="413"/>
      <c r="AN86" s="413"/>
      <c r="AO86" s="413"/>
      <c r="AP86" s="413"/>
      <c r="AQ86" s="413"/>
      <c r="AR86" s="413"/>
      <c r="AS86" s="413"/>
      <c r="AT86" s="413"/>
      <c r="AU86" s="413"/>
      <c r="AV86" s="413"/>
    </row>
    <row r="87" spans="1:48" s="50" customFormat="1" ht="31.5">
      <c r="A87" s="105" t="s">
        <v>158</v>
      </c>
      <c r="B87" s="98" t="s">
        <v>621</v>
      </c>
      <c r="C87" s="97" t="s">
        <v>338</v>
      </c>
      <c r="D87" s="64">
        <v>4336</v>
      </c>
      <c r="E87" s="64">
        <v>4746</v>
      </c>
      <c r="F87" s="64">
        <f>E87</f>
        <v>4746</v>
      </c>
      <c r="G87" s="64"/>
      <c r="H87" s="116"/>
      <c r="I87" s="64"/>
      <c r="J87" s="64">
        <v>100</v>
      </c>
      <c r="K87" s="49"/>
      <c r="L87" s="49"/>
      <c r="M87" s="64"/>
      <c r="N87" s="64"/>
      <c r="O87" s="411"/>
      <c r="P87" s="410"/>
      <c r="Q87" s="410"/>
      <c r="R87" s="410"/>
      <c r="S87" s="410"/>
      <c r="T87" s="410"/>
      <c r="U87" s="410"/>
      <c r="V87" s="410"/>
      <c r="W87" s="410"/>
      <c r="X87" s="410"/>
      <c r="Y87" s="410"/>
      <c r="Z87" s="410"/>
      <c r="AA87" s="410"/>
      <c r="AB87" s="410"/>
      <c r="AC87" s="410"/>
      <c r="AD87" s="410"/>
      <c r="AE87" s="410"/>
      <c r="AF87" s="410"/>
      <c r="AG87" s="410"/>
      <c r="AH87" s="410"/>
      <c r="AI87" s="410"/>
      <c r="AJ87" s="410"/>
      <c r="AK87" s="410"/>
      <c r="AL87" s="410"/>
      <c r="AM87" s="410"/>
      <c r="AN87" s="410"/>
      <c r="AO87" s="410"/>
      <c r="AP87" s="410"/>
      <c r="AQ87" s="410"/>
      <c r="AR87" s="410"/>
      <c r="AS87" s="410"/>
      <c r="AT87" s="410"/>
      <c r="AU87" s="410"/>
      <c r="AV87" s="410"/>
    </row>
    <row r="88" spans="1:48" s="50" customFormat="1" ht="15.75">
      <c r="A88" s="106" t="s">
        <v>168</v>
      </c>
      <c r="B88" s="101" t="s">
        <v>652</v>
      </c>
      <c r="C88" s="97" t="s">
        <v>625</v>
      </c>
      <c r="D88" s="64">
        <v>125402</v>
      </c>
      <c r="E88" s="64">
        <v>195342</v>
      </c>
      <c r="F88" s="64">
        <f>E88</f>
        <v>195342</v>
      </c>
      <c r="G88" s="64"/>
      <c r="H88" s="116"/>
      <c r="I88" s="64"/>
      <c r="J88" s="64">
        <v>100</v>
      </c>
      <c r="K88" s="49"/>
      <c r="L88" s="49"/>
      <c r="M88" s="64"/>
      <c r="N88" s="64"/>
      <c r="O88" s="411"/>
      <c r="P88" s="410"/>
      <c r="Q88" s="410"/>
      <c r="R88" s="410" t="s">
        <v>678</v>
      </c>
      <c r="S88" s="410"/>
      <c r="T88" s="410"/>
      <c r="U88" s="410"/>
      <c r="V88" s="410"/>
      <c r="W88" s="410"/>
      <c r="X88" s="410"/>
      <c r="Y88" s="410"/>
      <c r="Z88" s="410"/>
      <c r="AA88" s="410"/>
      <c r="AB88" s="410"/>
      <c r="AC88" s="410"/>
      <c r="AD88" s="410"/>
      <c r="AE88" s="410"/>
      <c r="AF88" s="410"/>
      <c r="AG88" s="410"/>
      <c r="AH88" s="410"/>
      <c r="AI88" s="410"/>
      <c r="AJ88" s="410"/>
      <c r="AK88" s="410"/>
      <c r="AL88" s="410"/>
      <c r="AM88" s="410"/>
      <c r="AN88" s="410"/>
      <c r="AO88" s="410"/>
      <c r="AP88" s="410"/>
      <c r="AQ88" s="410"/>
      <c r="AR88" s="410"/>
      <c r="AS88" s="410"/>
      <c r="AT88" s="410"/>
      <c r="AU88" s="410"/>
      <c r="AV88" s="410"/>
    </row>
    <row r="89" spans="1:48" s="50" customFormat="1" ht="15.75">
      <c r="A89" s="106" t="s">
        <v>176</v>
      </c>
      <c r="B89" s="101" t="s">
        <v>624</v>
      </c>
      <c r="C89" s="97" t="s">
        <v>338</v>
      </c>
      <c r="D89" s="64">
        <v>382</v>
      </c>
      <c r="E89" s="64">
        <v>410</v>
      </c>
      <c r="F89" s="64">
        <f>E89</f>
        <v>410</v>
      </c>
      <c r="G89" s="64"/>
      <c r="H89" s="116"/>
      <c r="I89" s="64"/>
      <c r="J89" s="64">
        <v>100</v>
      </c>
      <c r="K89" s="49"/>
      <c r="L89" s="49"/>
      <c r="M89" s="64"/>
      <c r="N89" s="64"/>
      <c r="O89" s="411"/>
      <c r="P89" s="410"/>
      <c r="Q89" s="410"/>
      <c r="R89" s="410"/>
      <c r="S89" s="410"/>
      <c r="T89" s="410"/>
      <c r="U89" s="410"/>
      <c r="V89" s="410"/>
      <c r="W89" s="410"/>
      <c r="X89" s="410"/>
      <c r="Y89" s="410"/>
      <c r="Z89" s="410"/>
      <c r="AA89" s="410"/>
      <c r="AB89" s="410"/>
      <c r="AC89" s="410"/>
      <c r="AD89" s="410"/>
      <c r="AE89" s="410"/>
      <c r="AF89" s="410"/>
      <c r="AG89" s="410"/>
      <c r="AH89" s="410"/>
      <c r="AI89" s="410"/>
      <c r="AJ89" s="410"/>
      <c r="AK89" s="410"/>
      <c r="AL89" s="410"/>
      <c r="AM89" s="410"/>
      <c r="AN89" s="410"/>
      <c r="AO89" s="410"/>
      <c r="AP89" s="410"/>
      <c r="AQ89" s="410"/>
      <c r="AR89" s="410"/>
      <c r="AS89" s="410"/>
      <c r="AT89" s="410"/>
      <c r="AU89" s="410"/>
      <c r="AV89" s="410"/>
    </row>
    <row r="90" spans="1:48" s="66" customFormat="1" ht="18.75" customHeight="1">
      <c r="A90" s="51" t="s">
        <v>97</v>
      </c>
      <c r="B90" s="52" t="s">
        <v>72</v>
      </c>
      <c r="C90" s="51"/>
      <c r="D90" s="68"/>
      <c r="E90" s="68"/>
      <c r="F90" s="68"/>
      <c r="G90" s="68"/>
      <c r="H90" s="390"/>
      <c r="I90" s="56"/>
      <c r="J90" s="68"/>
      <c r="K90" s="55"/>
      <c r="L90" s="55"/>
      <c r="M90" s="56"/>
      <c r="N90" s="56"/>
      <c r="O90" s="412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3"/>
      <c r="AA90" s="413"/>
      <c r="AB90" s="413"/>
      <c r="AC90" s="413"/>
      <c r="AD90" s="413"/>
      <c r="AE90" s="413"/>
      <c r="AF90" s="413"/>
      <c r="AG90" s="413"/>
      <c r="AH90" s="413"/>
      <c r="AI90" s="413"/>
      <c r="AJ90" s="413"/>
      <c r="AK90" s="413"/>
      <c r="AL90" s="413"/>
      <c r="AM90" s="413"/>
      <c r="AN90" s="413"/>
      <c r="AO90" s="413"/>
      <c r="AP90" s="413"/>
      <c r="AQ90" s="413"/>
      <c r="AR90" s="413"/>
      <c r="AS90" s="413"/>
      <c r="AT90" s="413"/>
      <c r="AU90" s="413"/>
      <c r="AV90" s="413"/>
    </row>
    <row r="91" spans="1:48" s="66" customFormat="1" ht="18.75" customHeight="1">
      <c r="A91" s="53">
        <v>1</v>
      </c>
      <c r="B91" s="12" t="s">
        <v>685</v>
      </c>
      <c r="C91" s="53" t="s">
        <v>73</v>
      </c>
      <c r="D91" s="69">
        <f>SUM(D92:D95)</f>
        <v>1611.74</v>
      </c>
      <c r="E91" s="68">
        <f>SUM(E92:E95)</f>
        <v>1837.4920000000002</v>
      </c>
      <c r="F91" s="68">
        <v>1004.2</v>
      </c>
      <c r="G91" s="68">
        <f>SUM(G92:G95)</f>
        <v>850.992</v>
      </c>
      <c r="H91" s="390"/>
      <c r="I91" s="68">
        <f>SUM(I92:I95)</f>
        <v>1966.1164399999998</v>
      </c>
      <c r="J91" s="69">
        <f>F91/G91*100</f>
        <v>118.00345949198115</v>
      </c>
      <c r="K91" s="55"/>
      <c r="L91" s="55">
        <f>F91/I91*100</f>
        <v>51.07530660798504</v>
      </c>
      <c r="M91" s="68"/>
      <c r="N91" s="68">
        <f>SUM(N92:N95)</f>
        <v>1966.1164399999998</v>
      </c>
      <c r="O91" s="426">
        <f>176.276/I91*100</f>
        <v>8.965694829345917</v>
      </c>
      <c r="P91" s="413"/>
      <c r="Q91" s="413"/>
      <c r="R91" s="420">
        <f>I91-E91</f>
        <v>128.6244399999996</v>
      </c>
      <c r="S91" s="417">
        <f>557.334/I91*100</f>
        <v>28.346947752494252</v>
      </c>
      <c r="T91" s="417">
        <f>905.8/I91*100</f>
        <v>46.07051655597773</v>
      </c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3"/>
      <c r="AL91" s="413"/>
      <c r="AM91" s="413"/>
      <c r="AN91" s="413"/>
      <c r="AO91" s="413"/>
      <c r="AP91" s="413"/>
      <c r="AQ91" s="413"/>
      <c r="AR91" s="413"/>
      <c r="AS91" s="413"/>
      <c r="AT91" s="413"/>
      <c r="AU91" s="413"/>
      <c r="AV91" s="413"/>
    </row>
    <row r="92" spans="1:48" s="50" customFormat="1" ht="15.75">
      <c r="A92" s="47"/>
      <c r="B92" s="7" t="s">
        <v>74</v>
      </c>
      <c r="C92" s="47" t="s">
        <v>73</v>
      </c>
      <c r="D92" s="70">
        <v>160.381</v>
      </c>
      <c r="E92" s="344">
        <v>183.597</v>
      </c>
      <c r="F92" s="344">
        <v>67.631</v>
      </c>
      <c r="G92" s="344">
        <v>54.156</v>
      </c>
      <c r="H92" s="116"/>
      <c r="I92" s="344">
        <v>196.44879</v>
      </c>
      <c r="J92" s="724">
        <f>F92/G92*100</f>
        <v>124.88182288204446</v>
      </c>
      <c r="K92" s="489"/>
      <c r="L92" s="489">
        <f>F92/I92*100</f>
        <v>34.42678369258472</v>
      </c>
      <c r="M92" s="344"/>
      <c r="N92" s="344">
        <v>196.44879</v>
      </c>
      <c r="O92" s="411"/>
      <c r="P92" s="410"/>
      <c r="Q92" s="410"/>
      <c r="R92" s="420">
        <f>I92-E92</f>
        <v>12.851789999999994</v>
      </c>
      <c r="S92" s="410"/>
      <c r="T92" s="410"/>
      <c r="U92" s="410"/>
      <c r="V92" s="410"/>
      <c r="W92" s="410"/>
      <c r="X92" s="410"/>
      <c r="Y92" s="410"/>
      <c r="Z92" s="410"/>
      <c r="AA92" s="410"/>
      <c r="AB92" s="410"/>
      <c r="AC92" s="410"/>
      <c r="AD92" s="410"/>
      <c r="AE92" s="410"/>
      <c r="AF92" s="410"/>
      <c r="AG92" s="410"/>
      <c r="AH92" s="410"/>
      <c r="AI92" s="410"/>
      <c r="AJ92" s="410"/>
      <c r="AK92" s="410"/>
      <c r="AL92" s="410"/>
      <c r="AM92" s="410"/>
      <c r="AN92" s="410"/>
      <c r="AO92" s="410"/>
      <c r="AP92" s="410"/>
      <c r="AQ92" s="410"/>
      <c r="AR92" s="410"/>
      <c r="AS92" s="410"/>
      <c r="AT92" s="410"/>
      <c r="AU92" s="410"/>
      <c r="AV92" s="410"/>
    </row>
    <row r="93" spans="1:48" s="50" customFormat="1" ht="15.75">
      <c r="A93" s="47"/>
      <c r="B93" s="7" t="s">
        <v>75</v>
      </c>
      <c r="C93" s="47" t="s">
        <v>73</v>
      </c>
      <c r="D93" s="70">
        <v>1346.872</v>
      </c>
      <c r="E93" s="344">
        <v>1503.409</v>
      </c>
      <c r="F93" s="344">
        <v>858.319</v>
      </c>
      <c r="G93" s="344">
        <v>749.465</v>
      </c>
      <c r="H93" s="116"/>
      <c r="I93" s="344">
        <v>1608.64763</v>
      </c>
      <c r="J93" s="724">
        <f>F93/G93*100</f>
        <v>114.5242272821279</v>
      </c>
      <c r="K93" s="489"/>
      <c r="L93" s="489">
        <f>F93/I93*100</f>
        <v>53.356557644634705</v>
      </c>
      <c r="M93" s="344"/>
      <c r="N93" s="344">
        <v>1608.64763</v>
      </c>
      <c r="O93" s="411"/>
      <c r="P93" s="410"/>
      <c r="Q93" s="410"/>
      <c r="R93" s="420">
        <f>I93-E93</f>
        <v>105.23862999999983</v>
      </c>
      <c r="S93" s="410"/>
      <c r="T93" s="410"/>
      <c r="U93" s="410"/>
      <c r="V93" s="410"/>
      <c r="W93" s="410"/>
      <c r="X93" s="410"/>
      <c r="Y93" s="410"/>
      <c r="Z93" s="410"/>
      <c r="AA93" s="410"/>
      <c r="AB93" s="410"/>
      <c r="AC93" s="410"/>
      <c r="AD93" s="410"/>
      <c r="AE93" s="410"/>
      <c r="AF93" s="410"/>
      <c r="AG93" s="410"/>
      <c r="AH93" s="410"/>
      <c r="AI93" s="410"/>
      <c r="AJ93" s="410"/>
      <c r="AK93" s="410"/>
      <c r="AL93" s="410"/>
      <c r="AM93" s="410"/>
      <c r="AN93" s="410"/>
      <c r="AO93" s="410"/>
      <c r="AP93" s="410"/>
      <c r="AQ93" s="410"/>
      <c r="AR93" s="410"/>
      <c r="AS93" s="410"/>
      <c r="AT93" s="410"/>
      <c r="AU93" s="410"/>
      <c r="AV93" s="410"/>
    </row>
    <row r="94" spans="1:48" s="50" customFormat="1" ht="15.75">
      <c r="A94" s="47"/>
      <c r="B94" s="7" t="s">
        <v>671</v>
      </c>
      <c r="C94" s="47" t="s">
        <v>73</v>
      </c>
      <c r="D94" s="70">
        <v>84.677</v>
      </c>
      <c r="E94" s="344">
        <v>117.053</v>
      </c>
      <c r="F94" s="344">
        <v>60.313</v>
      </c>
      <c r="G94" s="344">
        <v>40.215</v>
      </c>
      <c r="H94" s="116"/>
      <c r="I94" s="344">
        <v>125.24671</v>
      </c>
      <c r="J94" s="724">
        <f>F94/G94*100</f>
        <v>149.976376973766</v>
      </c>
      <c r="K94" s="489"/>
      <c r="L94" s="489">
        <f>F94/I94*100</f>
        <v>48.15535673551825</v>
      </c>
      <c r="M94" s="344"/>
      <c r="N94" s="344">
        <v>125.24671</v>
      </c>
      <c r="O94" s="411"/>
      <c r="P94" s="410"/>
      <c r="Q94" s="410"/>
      <c r="R94" s="420">
        <f>I94-E94</f>
        <v>8.193709999999996</v>
      </c>
      <c r="S94" s="410"/>
      <c r="T94" s="410"/>
      <c r="U94" s="410"/>
      <c r="V94" s="410"/>
      <c r="W94" s="410"/>
      <c r="X94" s="410"/>
      <c r="Y94" s="410"/>
      <c r="Z94" s="410"/>
      <c r="AA94" s="410"/>
      <c r="AB94" s="410"/>
      <c r="AC94" s="410"/>
      <c r="AD94" s="410"/>
      <c r="AE94" s="410"/>
      <c r="AF94" s="410"/>
      <c r="AG94" s="410"/>
      <c r="AH94" s="410"/>
      <c r="AI94" s="410"/>
      <c r="AJ94" s="410"/>
      <c r="AK94" s="410"/>
      <c r="AL94" s="410"/>
      <c r="AM94" s="410"/>
      <c r="AN94" s="410"/>
      <c r="AO94" s="410"/>
      <c r="AP94" s="410"/>
      <c r="AQ94" s="410"/>
      <c r="AR94" s="410"/>
      <c r="AS94" s="410"/>
      <c r="AT94" s="410"/>
      <c r="AU94" s="410"/>
      <c r="AV94" s="410"/>
    </row>
    <row r="95" spans="1:48" s="50" customFormat="1" ht="15.75">
      <c r="A95" s="47"/>
      <c r="B95" s="7" t="s">
        <v>76</v>
      </c>
      <c r="C95" s="47" t="s">
        <v>73</v>
      </c>
      <c r="D95" s="70">
        <v>19.81</v>
      </c>
      <c r="E95" s="344">
        <v>33.433</v>
      </c>
      <c r="F95" s="344">
        <v>17.937</v>
      </c>
      <c r="G95" s="344">
        <v>7.156</v>
      </c>
      <c r="H95" s="116"/>
      <c r="I95" s="344">
        <v>35.77331</v>
      </c>
      <c r="J95" s="724">
        <f>F95/G95*100</f>
        <v>250.65679150363334</v>
      </c>
      <c r="K95" s="489"/>
      <c r="L95" s="489">
        <f>F95/I95*100</f>
        <v>50.1407334127035</v>
      </c>
      <c r="M95" s="344"/>
      <c r="N95" s="344">
        <v>35.77331</v>
      </c>
      <c r="O95" s="411"/>
      <c r="P95" s="410"/>
      <c r="Q95" s="410"/>
      <c r="R95" s="420">
        <f>I95-E95</f>
        <v>2.3403100000000023</v>
      </c>
      <c r="S95" s="410"/>
      <c r="T95" s="410"/>
      <c r="U95" s="410"/>
      <c r="V95" s="410"/>
      <c r="W95" s="410"/>
      <c r="X95" s="410"/>
      <c r="Y95" s="410"/>
      <c r="Z95" s="410"/>
      <c r="AA95" s="410"/>
      <c r="AB95" s="410"/>
      <c r="AC95" s="410"/>
      <c r="AD95" s="410"/>
      <c r="AE95" s="410"/>
      <c r="AF95" s="410"/>
      <c r="AG95" s="410"/>
      <c r="AH95" s="410"/>
      <c r="AI95" s="410"/>
      <c r="AJ95" s="410"/>
      <c r="AK95" s="410"/>
      <c r="AL95" s="410"/>
      <c r="AM95" s="410"/>
      <c r="AN95" s="410"/>
      <c r="AO95" s="410"/>
      <c r="AP95" s="410"/>
      <c r="AQ95" s="410"/>
      <c r="AR95" s="410"/>
      <c r="AS95" s="410"/>
      <c r="AT95" s="410"/>
      <c r="AU95" s="410"/>
      <c r="AV95" s="410"/>
    </row>
    <row r="96" spans="1:48" s="42" customFormat="1" ht="40.5" customHeight="1">
      <c r="A96" s="53">
        <v>2</v>
      </c>
      <c r="B96" s="12" t="s">
        <v>77</v>
      </c>
      <c r="C96" s="53"/>
      <c r="D96" s="70"/>
      <c r="E96" s="70"/>
      <c r="F96" s="70"/>
      <c r="G96" s="70"/>
      <c r="H96" s="116"/>
      <c r="I96" s="70"/>
      <c r="J96" s="70"/>
      <c r="K96" s="49"/>
      <c r="L96" s="49"/>
      <c r="M96" s="70"/>
      <c r="N96" s="70"/>
      <c r="O96" s="411"/>
      <c r="P96" s="410"/>
      <c r="Q96" s="410"/>
      <c r="R96" s="410"/>
      <c r="S96" s="410">
        <v>3025</v>
      </c>
      <c r="T96" s="410"/>
      <c r="U96" s="410"/>
      <c r="V96" s="410"/>
      <c r="W96" s="410"/>
      <c r="X96" s="410"/>
      <c r="Y96" s="410"/>
      <c r="Z96" s="410"/>
      <c r="AA96" s="410"/>
      <c r="AB96" s="410"/>
      <c r="AC96" s="410"/>
      <c r="AD96" s="410"/>
      <c r="AE96" s="410"/>
      <c r="AF96" s="410"/>
      <c r="AG96" s="410"/>
      <c r="AH96" s="410"/>
      <c r="AI96" s="410"/>
      <c r="AJ96" s="410"/>
      <c r="AK96" s="410"/>
      <c r="AL96" s="410"/>
      <c r="AM96" s="410"/>
      <c r="AN96" s="410"/>
      <c r="AO96" s="410"/>
      <c r="AP96" s="410"/>
      <c r="AQ96" s="410"/>
      <c r="AR96" s="410"/>
      <c r="AS96" s="410"/>
      <c r="AT96" s="410"/>
      <c r="AU96" s="410"/>
      <c r="AV96" s="410"/>
    </row>
    <row r="97" spans="1:48" s="50" customFormat="1" ht="27.75" customHeight="1">
      <c r="A97" s="47">
        <v>1</v>
      </c>
      <c r="B97" s="7" t="s">
        <v>78</v>
      </c>
      <c r="C97" s="47" t="s">
        <v>79</v>
      </c>
      <c r="D97" s="70">
        <v>80.6</v>
      </c>
      <c r="E97" s="70">
        <v>88.6</v>
      </c>
      <c r="F97" s="70">
        <v>47.3</v>
      </c>
      <c r="G97" s="70">
        <v>44.73</v>
      </c>
      <c r="H97" s="116"/>
      <c r="I97" s="70">
        <v>97.46</v>
      </c>
      <c r="J97" s="70">
        <f aca="true" t="shared" si="5" ref="J97:J104">F97/G97*100</f>
        <v>105.74558461882407</v>
      </c>
      <c r="K97" s="49"/>
      <c r="L97" s="49">
        <f aca="true" t="shared" si="6" ref="L97:L104">F97/I97*100</f>
        <v>48.53273137697517</v>
      </c>
      <c r="M97" s="70"/>
      <c r="N97" s="70">
        <v>97.46</v>
      </c>
      <c r="O97" s="411"/>
      <c r="P97" s="410"/>
      <c r="Q97" s="410"/>
      <c r="R97" s="416">
        <f aca="true" t="shared" si="7" ref="R97:R108">I97-E97</f>
        <v>8.86</v>
      </c>
      <c r="S97" s="410"/>
      <c r="T97" s="410"/>
      <c r="U97" s="410"/>
      <c r="V97" s="410"/>
      <c r="W97" s="410"/>
      <c r="X97" s="410"/>
      <c r="Y97" s="410"/>
      <c r="Z97" s="410"/>
      <c r="AA97" s="410"/>
      <c r="AB97" s="410"/>
      <c r="AC97" s="410"/>
      <c r="AD97" s="410"/>
      <c r="AE97" s="410"/>
      <c r="AF97" s="410"/>
      <c r="AG97" s="410"/>
      <c r="AH97" s="410"/>
      <c r="AI97" s="410"/>
      <c r="AJ97" s="410"/>
      <c r="AK97" s="410"/>
      <c r="AL97" s="410"/>
      <c r="AM97" s="410"/>
      <c r="AN97" s="410"/>
      <c r="AO97" s="410"/>
      <c r="AP97" s="410"/>
      <c r="AQ97" s="410"/>
      <c r="AR97" s="410"/>
      <c r="AS97" s="410"/>
      <c r="AT97" s="410"/>
      <c r="AU97" s="410"/>
      <c r="AV97" s="410"/>
    </row>
    <row r="98" spans="1:48" s="50" customFormat="1" ht="15.75">
      <c r="A98" s="47">
        <v>2</v>
      </c>
      <c r="B98" s="7" t="s">
        <v>80</v>
      </c>
      <c r="C98" s="47" t="s">
        <v>81</v>
      </c>
      <c r="D98" s="70">
        <v>2.5</v>
      </c>
      <c r="E98" s="70">
        <v>2.75</v>
      </c>
      <c r="F98" s="70">
        <v>1.55</v>
      </c>
      <c r="G98" s="70">
        <v>1.45</v>
      </c>
      <c r="H98" s="116"/>
      <c r="I98" s="70">
        <v>3.03</v>
      </c>
      <c r="J98" s="70">
        <f t="shared" si="5"/>
        <v>106.89655172413795</v>
      </c>
      <c r="K98" s="49"/>
      <c r="L98" s="49">
        <f t="shared" si="6"/>
        <v>51.155115511551166</v>
      </c>
      <c r="M98" s="70"/>
      <c r="N98" s="70">
        <v>3.03</v>
      </c>
      <c r="O98" s="411"/>
      <c r="P98" s="410"/>
      <c r="Q98" s="410"/>
      <c r="R98" s="416">
        <f t="shared" si="7"/>
        <v>0.2799999999999998</v>
      </c>
      <c r="S98" s="410"/>
      <c r="T98" s="410"/>
      <c r="U98" s="410"/>
      <c r="V98" s="410"/>
      <c r="W98" s="410"/>
      <c r="X98" s="410"/>
      <c r="Y98" s="410"/>
      <c r="Z98" s="410"/>
      <c r="AA98" s="410"/>
      <c r="AB98" s="410"/>
      <c r="AC98" s="410"/>
      <c r="AD98" s="410"/>
      <c r="AE98" s="410"/>
      <c r="AF98" s="410"/>
      <c r="AG98" s="410"/>
      <c r="AH98" s="410"/>
      <c r="AI98" s="410"/>
      <c r="AJ98" s="410"/>
      <c r="AK98" s="410"/>
      <c r="AL98" s="410"/>
      <c r="AM98" s="410"/>
      <c r="AN98" s="410"/>
      <c r="AO98" s="410"/>
      <c r="AP98" s="410"/>
      <c r="AQ98" s="410"/>
      <c r="AR98" s="410"/>
      <c r="AS98" s="410"/>
      <c r="AT98" s="410"/>
      <c r="AU98" s="410"/>
      <c r="AV98" s="410"/>
    </row>
    <row r="99" spans="1:48" s="50" customFormat="1" ht="18">
      <c r="A99" s="47">
        <v>3</v>
      </c>
      <c r="B99" s="7" t="s">
        <v>82</v>
      </c>
      <c r="C99" s="47" t="s">
        <v>600</v>
      </c>
      <c r="D99" s="70">
        <v>710</v>
      </c>
      <c r="E99" s="70">
        <v>785</v>
      </c>
      <c r="F99" s="70">
        <v>456.4</v>
      </c>
      <c r="G99" s="70">
        <v>397.08</v>
      </c>
      <c r="H99" s="116"/>
      <c r="I99" s="70">
        <v>863.5</v>
      </c>
      <c r="J99" s="70">
        <f t="shared" si="5"/>
        <v>114.9390551022464</v>
      </c>
      <c r="K99" s="49"/>
      <c r="L99" s="49">
        <f t="shared" si="6"/>
        <v>52.85466126230457</v>
      </c>
      <c r="M99" s="70"/>
      <c r="N99" s="70">
        <v>863.5</v>
      </c>
      <c r="O99" s="411"/>
      <c r="P99" s="410"/>
      <c r="Q99" s="410"/>
      <c r="R99" s="416">
        <f t="shared" si="7"/>
        <v>78.5</v>
      </c>
      <c r="S99" s="410"/>
      <c r="T99" s="410"/>
      <c r="U99" s="410"/>
      <c r="V99" s="410"/>
      <c r="W99" s="410"/>
      <c r="X99" s="410"/>
      <c r="Y99" s="410"/>
      <c r="Z99" s="410"/>
      <c r="AA99" s="410"/>
      <c r="AB99" s="410"/>
      <c r="AC99" s="410"/>
      <c r="AD99" s="410"/>
      <c r="AE99" s="410"/>
      <c r="AF99" s="410"/>
      <c r="AG99" s="410"/>
      <c r="AH99" s="410"/>
      <c r="AI99" s="410"/>
      <c r="AJ99" s="410"/>
      <c r="AK99" s="410"/>
      <c r="AL99" s="410"/>
      <c r="AM99" s="410"/>
      <c r="AN99" s="410"/>
      <c r="AO99" s="410"/>
      <c r="AP99" s="410"/>
      <c r="AQ99" s="410"/>
      <c r="AR99" s="410"/>
      <c r="AS99" s="410"/>
      <c r="AT99" s="410"/>
      <c r="AU99" s="410"/>
      <c r="AV99" s="410"/>
    </row>
    <row r="100" spans="1:48" s="50" customFormat="1" ht="15.75">
      <c r="A100" s="47">
        <v>4</v>
      </c>
      <c r="B100" s="7" t="s">
        <v>83</v>
      </c>
      <c r="C100" s="47" t="s">
        <v>84</v>
      </c>
      <c r="D100" s="70">
        <v>36</v>
      </c>
      <c r="E100" s="70">
        <v>40</v>
      </c>
      <c r="F100" s="70">
        <v>23.12</v>
      </c>
      <c r="G100" s="70">
        <v>20.04</v>
      </c>
      <c r="H100" s="116"/>
      <c r="I100" s="70">
        <v>44</v>
      </c>
      <c r="J100" s="70">
        <f t="shared" si="5"/>
        <v>115.36926147704591</v>
      </c>
      <c r="K100" s="49"/>
      <c r="L100" s="49">
        <f t="shared" si="6"/>
        <v>52.545454545454554</v>
      </c>
      <c r="M100" s="70"/>
      <c r="N100" s="70">
        <v>44</v>
      </c>
      <c r="O100" s="411"/>
      <c r="P100" s="410"/>
      <c r="Q100" s="410"/>
      <c r="R100" s="416">
        <f t="shared" si="7"/>
        <v>4</v>
      </c>
      <c r="S100" s="410"/>
      <c r="T100" s="410"/>
      <c r="U100" s="410"/>
      <c r="V100" s="410"/>
      <c r="W100" s="410"/>
      <c r="X100" s="410"/>
      <c r="Y100" s="410"/>
      <c r="Z100" s="410"/>
      <c r="AA100" s="410"/>
      <c r="AB100" s="410"/>
      <c r="AC100" s="410"/>
      <c r="AD100" s="410"/>
      <c r="AE100" s="410"/>
      <c r="AF100" s="410"/>
      <c r="AG100" s="410"/>
      <c r="AH100" s="410"/>
      <c r="AI100" s="410"/>
      <c r="AJ100" s="410"/>
      <c r="AK100" s="410"/>
      <c r="AL100" s="410"/>
      <c r="AM100" s="410"/>
      <c r="AN100" s="410"/>
      <c r="AO100" s="410"/>
      <c r="AP100" s="410"/>
      <c r="AQ100" s="410"/>
      <c r="AR100" s="410"/>
      <c r="AS100" s="410"/>
      <c r="AT100" s="410"/>
      <c r="AU100" s="410"/>
      <c r="AV100" s="410"/>
    </row>
    <row r="101" spans="1:48" s="50" customFormat="1" ht="15.75">
      <c r="A101" s="47">
        <v>5</v>
      </c>
      <c r="B101" s="7" t="s">
        <v>85</v>
      </c>
      <c r="C101" s="47" t="s">
        <v>84</v>
      </c>
      <c r="D101" s="70">
        <v>21</v>
      </c>
      <c r="E101" s="70">
        <v>25</v>
      </c>
      <c r="F101" s="70">
        <v>14.6</v>
      </c>
      <c r="G101" s="70">
        <v>11.7</v>
      </c>
      <c r="H101" s="116"/>
      <c r="I101" s="70">
        <v>27.5</v>
      </c>
      <c r="J101" s="70">
        <f t="shared" si="5"/>
        <v>124.78632478632478</v>
      </c>
      <c r="K101" s="49"/>
      <c r="L101" s="49">
        <f t="shared" si="6"/>
        <v>53.090909090909086</v>
      </c>
      <c r="M101" s="70"/>
      <c r="N101" s="70">
        <v>27.5</v>
      </c>
      <c r="O101" s="411"/>
      <c r="P101" s="410"/>
      <c r="Q101" s="410"/>
      <c r="R101" s="416">
        <f t="shared" si="7"/>
        <v>2.5</v>
      </c>
      <c r="S101" s="410"/>
      <c r="T101" s="410"/>
      <c r="U101" s="410"/>
      <c r="V101" s="410"/>
      <c r="W101" s="410"/>
      <c r="X101" s="410"/>
      <c r="Y101" s="410"/>
      <c r="Z101" s="410"/>
      <c r="AA101" s="410"/>
      <c r="AB101" s="410"/>
      <c r="AC101" s="410"/>
      <c r="AD101" s="410"/>
      <c r="AE101" s="410"/>
      <c r="AF101" s="410"/>
      <c r="AG101" s="410"/>
      <c r="AH101" s="410"/>
      <c r="AI101" s="410"/>
      <c r="AJ101" s="410"/>
      <c r="AK101" s="410"/>
      <c r="AL101" s="410"/>
      <c r="AM101" s="410"/>
      <c r="AN101" s="410"/>
      <c r="AO101" s="410"/>
      <c r="AP101" s="410"/>
      <c r="AQ101" s="410"/>
      <c r="AR101" s="410"/>
      <c r="AS101" s="410"/>
      <c r="AT101" s="410"/>
      <c r="AU101" s="410"/>
      <c r="AV101" s="410"/>
    </row>
    <row r="102" spans="1:48" s="50" customFormat="1" ht="15.75">
      <c r="A102" s="47">
        <v>6</v>
      </c>
      <c r="B102" s="7" t="s">
        <v>86</v>
      </c>
      <c r="C102" s="47" t="s">
        <v>81</v>
      </c>
      <c r="D102" s="6">
        <v>375</v>
      </c>
      <c r="E102" s="6">
        <v>375</v>
      </c>
      <c r="F102" s="5">
        <v>197.4</v>
      </c>
      <c r="G102" s="70">
        <v>187.8</v>
      </c>
      <c r="H102" s="116"/>
      <c r="I102" s="70">
        <v>375</v>
      </c>
      <c r="J102" s="70">
        <f t="shared" si="5"/>
        <v>105.11182108626198</v>
      </c>
      <c r="K102" s="49"/>
      <c r="L102" s="49">
        <f t="shared" si="6"/>
        <v>52.64</v>
      </c>
      <c r="M102" s="70"/>
      <c r="N102" s="70">
        <v>375</v>
      </c>
      <c r="O102" s="411"/>
      <c r="P102" s="410"/>
      <c r="Q102" s="410"/>
      <c r="R102" s="416">
        <f t="shared" si="7"/>
        <v>0</v>
      </c>
      <c r="S102" s="410"/>
      <c r="T102" s="410"/>
      <c r="U102" s="410"/>
      <c r="V102" s="410"/>
      <c r="W102" s="410"/>
      <c r="X102" s="410"/>
      <c r="Y102" s="410"/>
      <c r="Z102" s="410"/>
      <c r="AA102" s="410"/>
      <c r="AB102" s="410"/>
      <c r="AC102" s="410"/>
      <c r="AD102" s="410"/>
      <c r="AE102" s="410"/>
      <c r="AF102" s="410"/>
      <c r="AG102" s="410"/>
      <c r="AH102" s="410"/>
      <c r="AI102" s="410"/>
      <c r="AJ102" s="410"/>
      <c r="AK102" s="410"/>
      <c r="AL102" s="410"/>
      <c r="AM102" s="410"/>
      <c r="AN102" s="410"/>
      <c r="AO102" s="410"/>
      <c r="AP102" s="410"/>
      <c r="AQ102" s="410"/>
      <c r="AR102" s="410"/>
      <c r="AS102" s="410"/>
      <c r="AT102" s="410"/>
      <c r="AU102" s="410"/>
      <c r="AV102" s="410"/>
    </row>
    <row r="103" spans="1:48" s="50" customFormat="1" ht="15.75">
      <c r="A103" s="47">
        <v>7</v>
      </c>
      <c r="B103" s="7" t="s">
        <v>87</v>
      </c>
      <c r="C103" s="47" t="s">
        <v>88</v>
      </c>
      <c r="D103" s="6">
        <v>5200</v>
      </c>
      <c r="E103" s="6">
        <v>5720</v>
      </c>
      <c r="F103" s="6">
        <v>3245</v>
      </c>
      <c r="G103" s="70">
        <v>2861.07</v>
      </c>
      <c r="H103" s="116"/>
      <c r="I103" s="70">
        <v>6292</v>
      </c>
      <c r="J103" s="70">
        <f t="shared" si="5"/>
        <v>113.4191054395733</v>
      </c>
      <c r="K103" s="49"/>
      <c r="L103" s="49">
        <f t="shared" si="6"/>
        <v>51.57342657342657</v>
      </c>
      <c r="M103" s="70"/>
      <c r="N103" s="70">
        <v>6292</v>
      </c>
      <c r="O103" s="411"/>
      <c r="P103" s="410"/>
      <c r="Q103" s="410"/>
      <c r="R103" s="416">
        <f t="shared" si="7"/>
        <v>572</v>
      </c>
      <c r="S103" s="410"/>
      <c r="T103" s="410"/>
      <c r="U103" s="410"/>
      <c r="V103" s="410"/>
      <c r="W103" s="410"/>
      <c r="X103" s="410"/>
      <c r="Y103" s="410"/>
      <c r="Z103" s="410"/>
      <c r="AA103" s="410"/>
      <c r="AB103" s="410"/>
      <c r="AC103" s="410"/>
      <c r="AD103" s="410"/>
      <c r="AE103" s="410"/>
      <c r="AF103" s="410"/>
      <c r="AG103" s="410"/>
      <c r="AH103" s="410"/>
      <c r="AI103" s="410"/>
      <c r="AJ103" s="410"/>
      <c r="AK103" s="410"/>
      <c r="AL103" s="410"/>
      <c r="AM103" s="410"/>
      <c r="AN103" s="410"/>
      <c r="AO103" s="410"/>
      <c r="AP103" s="410"/>
      <c r="AQ103" s="410"/>
      <c r="AR103" s="410"/>
      <c r="AS103" s="410"/>
      <c r="AT103" s="410"/>
      <c r="AU103" s="410"/>
      <c r="AV103" s="410"/>
    </row>
    <row r="104" spans="1:48" s="50" customFormat="1" ht="15.75">
      <c r="A104" s="47">
        <v>8</v>
      </c>
      <c r="B104" s="7" t="s">
        <v>89</v>
      </c>
      <c r="C104" s="47" t="s">
        <v>19</v>
      </c>
      <c r="D104" s="6">
        <v>3200</v>
      </c>
      <c r="E104" s="6">
        <v>3520</v>
      </c>
      <c r="F104" s="6">
        <v>1776.4</v>
      </c>
      <c r="G104" s="70">
        <v>1739.33</v>
      </c>
      <c r="H104" s="116"/>
      <c r="I104" s="70">
        <v>3872</v>
      </c>
      <c r="J104" s="70">
        <f t="shared" si="5"/>
        <v>102.13128043557003</v>
      </c>
      <c r="K104" s="49"/>
      <c r="L104" s="49">
        <f t="shared" si="6"/>
        <v>45.87809917355372</v>
      </c>
      <c r="M104" s="70"/>
      <c r="N104" s="70">
        <v>3872</v>
      </c>
      <c r="O104" s="411"/>
      <c r="P104" s="410"/>
      <c r="Q104" s="410"/>
      <c r="R104" s="416">
        <f t="shared" si="7"/>
        <v>352</v>
      </c>
      <c r="S104" s="410"/>
      <c r="T104" s="410"/>
      <c r="U104" s="410"/>
      <c r="V104" s="410"/>
      <c r="W104" s="410"/>
      <c r="X104" s="410"/>
      <c r="Y104" s="410"/>
      <c r="Z104" s="410"/>
      <c r="AA104" s="410"/>
      <c r="AB104" s="410"/>
      <c r="AC104" s="410"/>
      <c r="AD104" s="410"/>
      <c r="AE104" s="410"/>
      <c r="AF104" s="410"/>
      <c r="AG104" s="410"/>
      <c r="AH104" s="410"/>
      <c r="AI104" s="410"/>
      <c r="AJ104" s="410"/>
      <c r="AK104" s="410"/>
      <c r="AL104" s="410"/>
      <c r="AM104" s="410"/>
      <c r="AN104" s="410"/>
      <c r="AO104" s="410"/>
      <c r="AP104" s="410"/>
      <c r="AQ104" s="410"/>
      <c r="AR104" s="410"/>
      <c r="AS104" s="410"/>
      <c r="AT104" s="410"/>
      <c r="AU104" s="410"/>
      <c r="AV104" s="410"/>
    </row>
    <row r="105" spans="1:48" s="50" customFormat="1" ht="31.5" customHeight="1">
      <c r="A105" s="47">
        <v>9</v>
      </c>
      <c r="B105" s="7" t="s">
        <v>90</v>
      </c>
      <c r="C105" s="47" t="s">
        <v>91</v>
      </c>
      <c r="D105" s="6">
        <v>2500</v>
      </c>
      <c r="E105" s="6">
        <v>2750</v>
      </c>
      <c r="F105" s="6"/>
      <c r="G105" s="6"/>
      <c r="H105" s="116"/>
      <c r="I105" s="70">
        <v>3025</v>
      </c>
      <c r="J105" s="70"/>
      <c r="K105" s="49"/>
      <c r="L105" s="49"/>
      <c r="M105" s="70"/>
      <c r="N105" s="70">
        <v>3025</v>
      </c>
      <c r="O105" s="411"/>
      <c r="P105" s="410"/>
      <c r="Q105" s="410"/>
      <c r="R105" s="416">
        <f t="shared" si="7"/>
        <v>275</v>
      </c>
      <c r="S105" s="410"/>
      <c r="T105" s="410"/>
      <c r="U105" s="410"/>
      <c r="V105" s="410"/>
      <c r="W105" s="410"/>
      <c r="X105" s="410"/>
      <c r="Y105" s="410"/>
      <c r="Z105" s="410"/>
      <c r="AA105" s="410"/>
      <c r="AB105" s="410"/>
      <c r="AC105" s="410"/>
      <c r="AD105" s="410"/>
      <c r="AE105" s="410"/>
      <c r="AF105" s="410"/>
      <c r="AG105" s="410"/>
      <c r="AH105" s="410"/>
      <c r="AI105" s="410"/>
      <c r="AJ105" s="410"/>
      <c r="AK105" s="410"/>
      <c r="AL105" s="410"/>
      <c r="AM105" s="410"/>
      <c r="AN105" s="410"/>
      <c r="AO105" s="410"/>
      <c r="AP105" s="410"/>
      <c r="AQ105" s="410"/>
      <c r="AR105" s="410"/>
      <c r="AS105" s="410"/>
      <c r="AT105" s="410"/>
      <c r="AU105" s="410"/>
      <c r="AV105" s="410"/>
    </row>
    <row r="106" spans="1:48" s="50" customFormat="1" ht="18">
      <c r="A106" s="47">
        <v>10</v>
      </c>
      <c r="B106" s="7" t="s">
        <v>92</v>
      </c>
      <c r="C106" s="47" t="s">
        <v>601</v>
      </c>
      <c r="D106" s="70"/>
      <c r="E106" s="70"/>
      <c r="F106" s="70"/>
      <c r="G106" s="70"/>
      <c r="H106" s="116"/>
      <c r="I106" s="70"/>
      <c r="J106" s="70"/>
      <c r="K106" s="49"/>
      <c r="L106" s="49"/>
      <c r="M106" s="70"/>
      <c r="N106" s="70"/>
      <c r="O106" s="411"/>
      <c r="P106" s="410"/>
      <c r="Q106" s="410"/>
      <c r="R106" s="416">
        <f t="shared" si="7"/>
        <v>0</v>
      </c>
      <c r="S106" s="410"/>
      <c r="T106" s="410"/>
      <c r="U106" s="410"/>
      <c r="V106" s="410"/>
      <c r="W106" s="410"/>
      <c r="X106" s="410"/>
      <c r="Y106" s="410"/>
      <c r="Z106" s="410"/>
      <c r="AA106" s="410"/>
      <c r="AB106" s="410"/>
      <c r="AC106" s="410"/>
      <c r="AD106" s="410"/>
      <c r="AE106" s="410"/>
      <c r="AF106" s="410"/>
      <c r="AG106" s="410"/>
      <c r="AH106" s="410"/>
      <c r="AI106" s="410"/>
      <c r="AJ106" s="410"/>
      <c r="AK106" s="410"/>
      <c r="AL106" s="410"/>
      <c r="AM106" s="410"/>
      <c r="AN106" s="410"/>
      <c r="AO106" s="410"/>
      <c r="AP106" s="410"/>
      <c r="AQ106" s="410"/>
      <c r="AR106" s="410"/>
      <c r="AS106" s="410"/>
      <c r="AT106" s="410"/>
      <c r="AU106" s="410"/>
      <c r="AV106" s="410"/>
    </row>
    <row r="107" spans="1:48" s="50" customFormat="1" ht="18">
      <c r="A107" s="47">
        <v>11</v>
      </c>
      <c r="B107" s="7" t="s">
        <v>93</v>
      </c>
      <c r="C107" s="47" t="s">
        <v>600</v>
      </c>
      <c r="D107" s="5">
        <v>16</v>
      </c>
      <c r="E107" s="5">
        <v>18</v>
      </c>
      <c r="F107" s="5">
        <v>10.2</v>
      </c>
      <c r="G107" s="5">
        <v>9.1</v>
      </c>
      <c r="H107" s="116"/>
      <c r="I107" s="70">
        <v>19.8</v>
      </c>
      <c r="J107" s="70">
        <f>F107/G107*100</f>
        <v>112.08791208791209</v>
      </c>
      <c r="K107" s="49"/>
      <c r="L107" s="49">
        <f>F107/I107*100</f>
        <v>51.515151515151516</v>
      </c>
      <c r="M107" s="70"/>
      <c r="N107" s="70">
        <v>19.8</v>
      </c>
      <c r="O107" s="411"/>
      <c r="P107" s="410"/>
      <c r="Q107" s="410"/>
      <c r="R107" s="416">
        <f t="shared" si="7"/>
        <v>1.8000000000000007</v>
      </c>
      <c r="S107" s="410"/>
      <c r="T107" s="410"/>
      <c r="U107" s="410"/>
      <c r="V107" s="410"/>
      <c r="W107" s="410"/>
      <c r="X107" s="410"/>
      <c r="Y107" s="410"/>
      <c r="Z107" s="410"/>
      <c r="AA107" s="410"/>
      <c r="AB107" s="410"/>
      <c r="AC107" s="410"/>
      <c r="AD107" s="410"/>
      <c r="AE107" s="410"/>
      <c r="AF107" s="410"/>
      <c r="AG107" s="410"/>
      <c r="AH107" s="410"/>
      <c r="AI107" s="410"/>
      <c r="AJ107" s="410"/>
      <c r="AK107" s="410"/>
      <c r="AL107" s="410"/>
      <c r="AM107" s="410"/>
      <c r="AN107" s="410"/>
      <c r="AO107" s="410"/>
      <c r="AP107" s="410"/>
      <c r="AQ107" s="410"/>
      <c r="AR107" s="410"/>
      <c r="AS107" s="410"/>
      <c r="AT107" s="410"/>
      <c r="AU107" s="410"/>
      <c r="AV107" s="410"/>
    </row>
    <row r="108" spans="1:48" s="50" customFormat="1" ht="15" customHeight="1">
      <c r="A108" s="47">
        <v>12</v>
      </c>
      <c r="B108" s="7" t="s">
        <v>94</v>
      </c>
      <c r="C108" s="47" t="s">
        <v>19</v>
      </c>
      <c r="D108" s="5">
        <v>375</v>
      </c>
      <c r="E108" s="5">
        <v>542.7</v>
      </c>
      <c r="F108" s="70">
        <v>300.34</v>
      </c>
      <c r="G108" s="5">
        <v>272.25</v>
      </c>
      <c r="H108" s="116"/>
      <c r="I108" s="70">
        <v>596.97</v>
      </c>
      <c r="J108" s="70">
        <f>F108/G108*100</f>
        <v>110.31772268135904</v>
      </c>
      <c r="K108" s="49"/>
      <c r="L108" s="49">
        <f>F108/I108*1100</f>
        <v>553.418094711627</v>
      </c>
      <c r="M108" s="70"/>
      <c r="N108" s="70">
        <v>596.97</v>
      </c>
      <c r="O108" s="411"/>
      <c r="P108" s="410"/>
      <c r="Q108" s="410"/>
      <c r="R108" s="416">
        <f t="shared" si="7"/>
        <v>54.26999999999998</v>
      </c>
      <c r="S108" s="410"/>
      <c r="T108" s="410"/>
      <c r="U108" s="410"/>
      <c r="V108" s="410"/>
      <c r="W108" s="410"/>
      <c r="X108" s="410"/>
      <c r="Y108" s="410"/>
      <c r="Z108" s="410"/>
      <c r="AA108" s="410"/>
      <c r="AB108" s="410"/>
      <c r="AC108" s="410"/>
      <c r="AD108" s="410"/>
      <c r="AE108" s="410"/>
      <c r="AF108" s="410"/>
      <c r="AG108" s="410"/>
      <c r="AH108" s="410"/>
      <c r="AI108" s="410"/>
      <c r="AJ108" s="410"/>
      <c r="AK108" s="410"/>
      <c r="AL108" s="410"/>
      <c r="AM108" s="410"/>
      <c r="AN108" s="410"/>
      <c r="AO108" s="410"/>
      <c r="AP108" s="410"/>
      <c r="AQ108" s="410"/>
      <c r="AR108" s="410"/>
      <c r="AS108" s="410"/>
      <c r="AT108" s="410"/>
      <c r="AU108" s="410"/>
      <c r="AV108" s="410"/>
    </row>
    <row r="109" spans="1:48" s="50" customFormat="1" ht="15.75" hidden="1">
      <c r="A109" s="47">
        <v>13</v>
      </c>
      <c r="B109" s="7" t="s">
        <v>95</v>
      </c>
      <c r="C109" s="47" t="s">
        <v>96</v>
      </c>
      <c r="D109" s="6"/>
      <c r="E109" s="6"/>
      <c r="F109" s="6"/>
      <c r="G109" s="6"/>
      <c r="H109" s="116"/>
      <c r="I109" s="70"/>
      <c r="J109" s="70"/>
      <c r="K109" s="49"/>
      <c r="L109" s="49"/>
      <c r="M109" s="70"/>
      <c r="N109" s="70"/>
      <c r="O109" s="411"/>
      <c r="P109" s="410"/>
      <c r="Q109" s="410"/>
      <c r="R109" s="410"/>
      <c r="S109" s="410"/>
      <c r="T109" s="410"/>
      <c r="U109" s="410"/>
      <c r="V109" s="410"/>
      <c r="W109" s="410"/>
      <c r="X109" s="410"/>
      <c r="Y109" s="410"/>
      <c r="Z109" s="410"/>
      <c r="AA109" s="410"/>
      <c r="AB109" s="410"/>
      <c r="AC109" s="410"/>
      <c r="AD109" s="410"/>
      <c r="AE109" s="410"/>
      <c r="AF109" s="410"/>
      <c r="AG109" s="410"/>
      <c r="AH109" s="410"/>
      <c r="AI109" s="410"/>
      <c r="AJ109" s="410"/>
      <c r="AK109" s="410"/>
      <c r="AL109" s="410"/>
      <c r="AM109" s="410"/>
      <c r="AN109" s="410"/>
      <c r="AO109" s="410"/>
      <c r="AP109" s="410"/>
      <c r="AQ109" s="410"/>
      <c r="AR109" s="410"/>
      <c r="AS109" s="410"/>
      <c r="AT109" s="410"/>
      <c r="AU109" s="410"/>
      <c r="AV109" s="410"/>
    </row>
    <row r="110" spans="1:48" s="66" customFormat="1" ht="20.25" customHeight="1">
      <c r="A110" s="51" t="s">
        <v>100</v>
      </c>
      <c r="B110" s="52" t="s">
        <v>98</v>
      </c>
      <c r="C110" s="51"/>
      <c r="D110" s="71">
        <f>D111</f>
        <v>2785.1</v>
      </c>
      <c r="E110" s="68">
        <v>3804.929</v>
      </c>
      <c r="F110" s="68">
        <v>2135.7</v>
      </c>
      <c r="G110" s="68">
        <v>1647.61</v>
      </c>
      <c r="H110" s="390"/>
      <c r="I110" s="68">
        <f>I111</f>
        <v>4071.229</v>
      </c>
      <c r="J110" s="69">
        <f>F110/G110*100</f>
        <v>129.6241222133879</v>
      </c>
      <c r="K110" s="55"/>
      <c r="L110" s="55">
        <f>F110/I110*100</f>
        <v>52.458360853688156</v>
      </c>
      <c r="M110" s="68"/>
      <c r="N110" s="68">
        <f>N111</f>
        <v>4071.229</v>
      </c>
      <c r="O110" s="426">
        <f>343.44329/I110*100</f>
        <v>8.4358627333417</v>
      </c>
      <c r="P110" s="413"/>
      <c r="Q110" s="413"/>
      <c r="R110" s="418">
        <f>I110-E110</f>
        <v>266.2999999999997</v>
      </c>
      <c r="S110" s="421">
        <f>953.554/I110*100</f>
        <v>23.42177263917112</v>
      </c>
      <c r="T110" s="413">
        <f>1676/I110*100</f>
        <v>41.16693018250754</v>
      </c>
      <c r="U110" s="413"/>
      <c r="V110" s="413"/>
      <c r="W110" s="413"/>
      <c r="X110" s="413"/>
      <c r="Y110" s="413"/>
      <c r="Z110" s="413"/>
      <c r="AA110" s="413"/>
      <c r="AB110" s="413"/>
      <c r="AC110" s="413"/>
      <c r="AD110" s="413"/>
      <c r="AE110" s="413"/>
      <c r="AF110" s="413"/>
      <c r="AG110" s="413"/>
      <c r="AH110" s="413"/>
      <c r="AI110" s="413"/>
      <c r="AJ110" s="413"/>
      <c r="AK110" s="413"/>
      <c r="AL110" s="413"/>
      <c r="AM110" s="413"/>
      <c r="AN110" s="413"/>
      <c r="AO110" s="413"/>
      <c r="AP110" s="413"/>
      <c r="AQ110" s="413"/>
      <c r="AR110" s="413"/>
      <c r="AS110" s="413"/>
      <c r="AT110" s="413"/>
      <c r="AU110" s="413"/>
      <c r="AV110" s="413"/>
    </row>
    <row r="111" spans="1:48" s="50" customFormat="1" ht="30">
      <c r="A111" s="47"/>
      <c r="B111" s="7" t="s">
        <v>99</v>
      </c>
      <c r="C111" s="47" t="s">
        <v>73</v>
      </c>
      <c r="D111" s="70">
        <v>2785.1</v>
      </c>
      <c r="E111" s="344">
        <f>E110</f>
        <v>3804.929</v>
      </c>
      <c r="F111" s="344">
        <v>2135.7</v>
      </c>
      <c r="G111" s="344">
        <v>1647.61</v>
      </c>
      <c r="H111" s="116"/>
      <c r="I111" s="344">
        <v>4071.229</v>
      </c>
      <c r="J111" s="724">
        <f>F111/G111*100</f>
        <v>129.6241222133879</v>
      </c>
      <c r="K111" s="489"/>
      <c r="L111" s="489">
        <f>F111/I111*100</f>
        <v>52.458360853688156</v>
      </c>
      <c r="M111" s="344"/>
      <c r="N111" s="344">
        <v>4071.229</v>
      </c>
      <c r="O111" s="411"/>
      <c r="P111" s="410"/>
      <c r="Q111" s="410"/>
      <c r="R111" s="410"/>
      <c r="S111" s="410"/>
      <c r="T111" s="410"/>
      <c r="U111" s="410"/>
      <c r="V111" s="410"/>
      <c r="W111" s="410"/>
      <c r="X111" s="410"/>
      <c r="Y111" s="410"/>
      <c r="Z111" s="410"/>
      <c r="AA111" s="410"/>
      <c r="AB111" s="410"/>
      <c r="AC111" s="410"/>
      <c r="AD111" s="410"/>
      <c r="AE111" s="410"/>
      <c r="AF111" s="410"/>
      <c r="AG111" s="410"/>
      <c r="AH111" s="410"/>
      <c r="AI111" s="410"/>
      <c r="AJ111" s="410"/>
      <c r="AK111" s="410"/>
      <c r="AL111" s="410"/>
      <c r="AM111" s="410"/>
      <c r="AN111" s="410"/>
      <c r="AO111" s="410"/>
      <c r="AP111" s="410"/>
      <c r="AQ111" s="410"/>
      <c r="AR111" s="410"/>
      <c r="AS111" s="410"/>
      <c r="AT111" s="410"/>
      <c r="AU111" s="410"/>
      <c r="AV111" s="410"/>
    </row>
    <row r="112" spans="1:48" s="50" customFormat="1" ht="15.75">
      <c r="A112" s="47"/>
      <c r="B112" s="7" t="s">
        <v>634</v>
      </c>
      <c r="C112" s="47"/>
      <c r="D112" s="70"/>
      <c r="E112" s="70"/>
      <c r="F112" s="70"/>
      <c r="G112" s="70"/>
      <c r="H112" s="116"/>
      <c r="I112" s="5"/>
      <c r="J112" s="70"/>
      <c r="K112" s="49"/>
      <c r="L112" s="49"/>
      <c r="M112" s="5"/>
      <c r="N112" s="5"/>
      <c r="O112" s="411"/>
      <c r="P112" s="410"/>
      <c r="Q112" s="410"/>
      <c r="R112" s="410"/>
      <c r="S112" s="410"/>
      <c r="T112" s="410"/>
      <c r="U112" s="410"/>
      <c r="V112" s="410"/>
      <c r="W112" s="410"/>
      <c r="X112" s="410"/>
      <c r="Y112" s="410"/>
      <c r="Z112" s="410"/>
      <c r="AA112" s="410"/>
      <c r="AB112" s="410"/>
      <c r="AC112" s="410"/>
      <c r="AD112" s="410"/>
      <c r="AE112" s="410"/>
      <c r="AF112" s="410"/>
      <c r="AG112" s="410"/>
      <c r="AH112" s="410"/>
      <c r="AI112" s="410"/>
      <c r="AJ112" s="410"/>
      <c r="AK112" s="410"/>
      <c r="AL112" s="410"/>
      <c r="AM112" s="410"/>
      <c r="AN112" s="410"/>
      <c r="AO112" s="410"/>
      <c r="AP112" s="410"/>
      <c r="AQ112" s="410"/>
      <c r="AR112" s="410"/>
      <c r="AS112" s="410"/>
      <c r="AT112" s="410"/>
      <c r="AU112" s="410"/>
      <c r="AV112" s="410"/>
    </row>
    <row r="113" spans="1:48" s="66" customFormat="1" ht="20.25" customHeight="1">
      <c r="A113" s="51" t="s">
        <v>628</v>
      </c>
      <c r="B113" s="52" t="s">
        <v>101</v>
      </c>
      <c r="C113" s="51"/>
      <c r="D113" s="71"/>
      <c r="E113" s="71"/>
      <c r="F113" s="71"/>
      <c r="G113" s="71"/>
      <c r="H113" s="390"/>
      <c r="I113" s="726"/>
      <c r="J113" s="69"/>
      <c r="K113" s="55"/>
      <c r="L113" s="55"/>
      <c r="M113" s="726"/>
      <c r="N113" s="726"/>
      <c r="O113" s="412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  <c r="Z113" s="413"/>
      <c r="AA113" s="413"/>
      <c r="AB113" s="413"/>
      <c r="AC113" s="413"/>
      <c r="AD113" s="413"/>
      <c r="AE113" s="413"/>
      <c r="AF113" s="413"/>
      <c r="AG113" s="413"/>
      <c r="AH113" s="413"/>
      <c r="AI113" s="413"/>
      <c r="AJ113" s="413"/>
      <c r="AK113" s="413"/>
      <c r="AL113" s="413"/>
      <c r="AM113" s="413"/>
      <c r="AN113" s="413"/>
      <c r="AO113" s="413"/>
      <c r="AP113" s="413"/>
      <c r="AQ113" s="413"/>
      <c r="AR113" s="413"/>
      <c r="AS113" s="413"/>
      <c r="AT113" s="413"/>
      <c r="AU113" s="413"/>
      <c r="AV113" s="413"/>
    </row>
    <row r="114" spans="1:48" s="66" customFormat="1" ht="20.25" customHeight="1">
      <c r="A114" s="51" t="s">
        <v>14</v>
      </c>
      <c r="B114" s="52" t="s">
        <v>102</v>
      </c>
      <c r="C114" s="53" t="s">
        <v>96</v>
      </c>
      <c r="D114" s="71">
        <f>SUM(D116:D123)</f>
        <v>943128.88</v>
      </c>
      <c r="E114" s="71">
        <f>E115+E117+E118+E120+E121+E123</f>
        <v>1170445.323286</v>
      </c>
      <c r="F114" s="71">
        <f>F115+F117</f>
        <v>837326</v>
      </c>
      <c r="G114" s="71">
        <f>G116+G117+G118+G123</f>
        <v>754883</v>
      </c>
      <c r="H114" s="71">
        <f>+H116+H117</f>
        <v>1022786</v>
      </c>
      <c r="I114" s="71">
        <f>+I116+I117</f>
        <v>1022786</v>
      </c>
      <c r="J114" s="69">
        <f>F114/G114*100</f>
        <v>110.921295088113</v>
      </c>
      <c r="K114" s="55">
        <f>F114/H114*100</f>
        <v>81.86717456046524</v>
      </c>
      <c r="L114" s="55">
        <f>F114/I114*100</f>
        <v>81.86717456046524</v>
      </c>
      <c r="M114" s="71"/>
      <c r="N114" s="71">
        <f>+N116+N117</f>
        <v>1022786</v>
      </c>
      <c r="O114" s="412">
        <f>I114*10%</f>
        <v>102278.6</v>
      </c>
      <c r="P114" s="413"/>
      <c r="Q114" s="413"/>
      <c r="R114" s="413"/>
      <c r="S114" s="413">
        <f>195262/I114*100</f>
        <v>19.091188185993943</v>
      </c>
      <c r="T114" s="413"/>
      <c r="U114" s="413"/>
      <c r="V114" s="413"/>
      <c r="W114" s="413"/>
      <c r="X114" s="413"/>
      <c r="Y114" s="413"/>
      <c r="Z114" s="413"/>
      <c r="AA114" s="413"/>
      <c r="AB114" s="413"/>
      <c r="AC114" s="413"/>
      <c r="AD114" s="413"/>
      <c r="AE114" s="413"/>
      <c r="AF114" s="413"/>
      <c r="AG114" s="413"/>
      <c r="AH114" s="413"/>
      <c r="AI114" s="413"/>
      <c r="AJ114" s="413"/>
      <c r="AK114" s="413"/>
      <c r="AL114" s="413"/>
      <c r="AM114" s="413"/>
      <c r="AN114" s="413"/>
      <c r="AO114" s="413"/>
      <c r="AP114" s="413"/>
      <c r="AQ114" s="413"/>
      <c r="AR114" s="413"/>
      <c r="AS114" s="413"/>
      <c r="AT114" s="413"/>
      <c r="AU114" s="413"/>
      <c r="AV114" s="413"/>
    </row>
    <row r="115" spans="1:48" s="57" customFormat="1" ht="20.25" customHeight="1">
      <c r="A115" s="727"/>
      <c r="B115" s="15" t="s">
        <v>103</v>
      </c>
      <c r="C115" s="727" t="s">
        <v>96</v>
      </c>
      <c r="D115" s="728">
        <v>101582</v>
      </c>
      <c r="E115" s="729">
        <v>113687</v>
      </c>
      <c r="F115" s="729">
        <v>53040</v>
      </c>
      <c r="G115" s="729">
        <v>53869</v>
      </c>
      <c r="H115" s="728">
        <v>95000</v>
      </c>
      <c r="I115" s="728">
        <v>95000</v>
      </c>
      <c r="J115" s="730">
        <f>F115/G115*100</f>
        <v>98.46108151255825</v>
      </c>
      <c r="K115" s="49">
        <f>F115/H115*100</f>
        <v>55.83157894736842</v>
      </c>
      <c r="L115" s="49">
        <f>F115/I115*100</f>
        <v>55.83157894736842</v>
      </c>
      <c r="M115" s="728"/>
      <c r="N115" s="728">
        <v>95000</v>
      </c>
      <c r="O115" s="731"/>
      <c r="P115" s="415"/>
      <c r="Q115" s="415"/>
      <c r="R115" s="415"/>
      <c r="S115" s="732">
        <f>52270/I116*100</f>
        <v>58.14238042269187</v>
      </c>
      <c r="T115" s="415"/>
      <c r="U115" s="415"/>
      <c r="V115" s="415"/>
      <c r="W115" s="415"/>
      <c r="X115" s="415"/>
      <c r="Y115" s="415"/>
      <c r="Z115" s="415"/>
      <c r="AA115" s="415"/>
      <c r="AB115" s="415"/>
      <c r="AC115" s="415"/>
      <c r="AD115" s="415"/>
      <c r="AE115" s="415"/>
      <c r="AF115" s="415"/>
      <c r="AG115" s="415"/>
      <c r="AH115" s="415"/>
      <c r="AI115" s="415"/>
      <c r="AJ115" s="415"/>
      <c r="AK115" s="415"/>
      <c r="AL115" s="415"/>
      <c r="AM115" s="415"/>
      <c r="AN115" s="415"/>
      <c r="AO115" s="415"/>
      <c r="AP115" s="415"/>
      <c r="AQ115" s="415"/>
      <c r="AR115" s="415"/>
      <c r="AS115" s="415"/>
      <c r="AT115" s="415"/>
      <c r="AU115" s="415"/>
      <c r="AV115" s="415"/>
    </row>
    <row r="116" spans="1:48" s="50" customFormat="1" ht="30">
      <c r="A116" s="47">
        <v>1</v>
      </c>
      <c r="B116" s="7" t="s">
        <v>104</v>
      </c>
      <c r="C116" s="47" t="s">
        <v>96</v>
      </c>
      <c r="D116" s="6">
        <v>96847</v>
      </c>
      <c r="E116" s="139">
        <v>113687</v>
      </c>
      <c r="F116" s="139">
        <f>F115</f>
        <v>53040</v>
      </c>
      <c r="G116" s="139">
        <v>52802</v>
      </c>
      <c r="H116" s="6">
        <v>89900</v>
      </c>
      <c r="I116" s="6">
        <v>89900</v>
      </c>
      <c r="J116" s="70">
        <f>F116/G116*100</f>
        <v>100.45074050225371</v>
      </c>
      <c r="K116" s="49">
        <f>F116/H116*100</f>
        <v>58.998887652947715</v>
      </c>
      <c r="L116" s="49">
        <f>F116/I116*100</f>
        <v>58.998887652947715</v>
      </c>
      <c r="M116" s="6"/>
      <c r="N116" s="6">
        <v>89900</v>
      </c>
      <c r="O116" s="411"/>
      <c r="P116" s="410"/>
      <c r="Q116" s="410"/>
      <c r="R116" s="410"/>
      <c r="S116" s="410"/>
      <c r="T116" s="410"/>
      <c r="U116" s="410"/>
      <c r="V116" s="410"/>
      <c r="W116" s="410"/>
      <c r="X116" s="410"/>
      <c r="Y116" s="410"/>
      <c r="Z116" s="410"/>
      <c r="AA116" s="410"/>
      <c r="AB116" s="410"/>
      <c r="AC116" s="410"/>
      <c r="AD116" s="410"/>
      <c r="AE116" s="410"/>
      <c r="AF116" s="410"/>
      <c r="AG116" s="410"/>
      <c r="AH116" s="410"/>
      <c r="AI116" s="410"/>
      <c r="AJ116" s="410"/>
      <c r="AK116" s="410"/>
      <c r="AL116" s="410"/>
      <c r="AM116" s="410"/>
      <c r="AN116" s="410"/>
      <c r="AO116" s="410"/>
      <c r="AP116" s="410"/>
      <c r="AQ116" s="410"/>
      <c r="AR116" s="410"/>
      <c r="AS116" s="410"/>
      <c r="AT116" s="410"/>
      <c r="AU116" s="410"/>
      <c r="AV116" s="410"/>
    </row>
    <row r="117" spans="1:48" s="50" customFormat="1" ht="15.75">
      <c r="A117" s="47">
        <v>2</v>
      </c>
      <c r="B117" s="7" t="s">
        <v>105</v>
      </c>
      <c r="C117" s="47" t="s">
        <v>96</v>
      </c>
      <c r="D117" s="6">
        <v>748557</v>
      </c>
      <c r="E117" s="139">
        <v>891851</v>
      </c>
      <c r="F117" s="139">
        <v>784286</v>
      </c>
      <c r="G117" s="139">
        <v>537896</v>
      </c>
      <c r="H117" s="6">
        <f>H124-H116</f>
        <v>932886</v>
      </c>
      <c r="I117" s="6">
        <f>I124-I116</f>
        <v>932886</v>
      </c>
      <c r="J117" s="70">
        <f>F117/G117*100</f>
        <v>145.80625250977883</v>
      </c>
      <c r="K117" s="49">
        <f>F117/H117*100</f>
        <v>84.07093685616464</v>
      </c>
      <c r="L117" s="49">
        <f>F117/I117*100</f>
        <v>84.07093685616464</v>
      </c>
      <c r="M117" s="6"/>
      <c r="N117" s="6">
        <f>N124-N116</f>
        <v>932886</v>
      </c>
      <c r="O117" s="411"/>
      <c r="P117" s="410"/>
      <c r="Q117" s="410"/>
      <c r="R117" s="410"/>
      <c r="S117" s="410"/>
      <c r="T117" s="410"/>
      <c r="U117" s="410"/>
      <c r="V117" s="410"/>
      <c r="W117" s="410"/>
      <c r="X117" s="410"/>
      <c r="Y117" s="410"/>
      <c r="Z117" s="410"/>
      <c r="AA117" s="410"/>
      <c r="AB117" s="410"/>
      <c r="AC117" s="410"/>
      <c r="AD117" s="410"/>
      <c r="AE117" s="410"/>
      <c r="AF117" s="410"/>
      <c r="AG117" s="410"/>
      <c r="AH117" s="410"/>
      <c r="AI117" s="410"/>
      <c r="AJ117" s="410"/>
      <c r="AK117" s="410"/>
      <c r="AL117" s="410"/>
      <c r="AM117" s="410"/>
      <c r="AN117" s="410"/>
      <c r="AO117" s="410"/>
      <c r="AP117" s="410"/>
      <c r="AQ117" s="410"/>
      <c r="AR117" s="410"/>
      <c r="AS117" s="410"/>
      <c r="AT117" s="410"/>
      <c r="AU117" s="410"/>
      <c r="AV117" s="410"/>
    </row>
    <row r="118" spans="1:48" s="50" customFormat="1" ht="15.75">
      <c r="A118" s="47">
        <v>3</v>
      </c>
      <c r="B118" s="7" t="s">
        <v>106</v>
      </c>
      <c r="C118" s="47" t="s">
        <v>96</v>
      </c>
      <c r="D118" s="6">
        <v>96603</v>
      </c>
      <c r="E118" s="139">
        <v>164121.120171</v>
      </c>
      <c r="F118" s="139"/>
      <c r="G118" s="213">
        <v>164121.1</v>
      </c>
      <c r="H118" s="70"/>
      <c r="I118" s="70"/>
      <c r="J118" s="70"/>
      <c r="K118" s="49"/>
      <c r="L118" s="49"/>
      <c r="M118" s="70"/>
      <c r="N118" s="70"/>
      <c r="O118" s="411"/>
      <c r="P118" s="410"/>
      <c r="Q118" s="410"/>
      <c r="R118" s="410"/>
      <c r="S118" s="410"/>
      <c r="T118" s="410"/>
      <c r="U118" s="410"/>
      <c r="V118" s="410"/>
      <c r="W118" s="410"/>
      <c r="X118" s="410"/>
      <c r="Y118" s="410"/>
      <c r="Z118" s="410"/>
      <c r="AA118" s="410"/>
      <c r="AB118" s="410"/>
      <c r="AC118" s="410"/>
      <c r="AD118" s="410"/>
      <c r="AE118" s="410"/>
      <c r="AF118" s="410"/>
      <c r="AG118" s="410"/>
      <c r="AH118" s="410"/>
      <c r="AI118" s="410"/>
      <c r="AJ118" s="410"/>
      <c r="AK118" s="410"/>
      <c r="AL118" s="410"/>
      <c r="AM118" s="410"/>
      <c r="AN118" s="410"/>
      <c r="AO118" s="410"/>
      <c r="AP118" s="410"/>
      <c r="AQ118" s="410"/>
      <c r="AR118" s="410"/>
      <c r="AS118" s="410"/>
      <c r="AT118" s="410"/>
      <c r="AU118" s="410"/>
      <c r="AV118" s="410"/>
    </row>
    <row r="119" spans="1:48" s="50" customFormat="1" ht="15.75">
      <c r="A119" s="47">
        <v>4</v>
      </c>
      <c r="B119" s="7" t="s">
        <v>107</v>
      </c>
      <c r="C119" s="47" t="s">
        <v>96</v>
      </c>
      <c r="D119" s="6"/>
      <c r="E119" s="139"/>
      <c r="F119" s="139"/>
      <c r="G119" s="139"/>
      <c r="H119" s="70"/>
      <c r="I119" s="70"/>
      <c r="J119" s="70"/>
      <c r="K119" s="49"/>
      <c r="L119" s="49"/>
      <c r="M119" s="70"/>
      <c r="N119" s="70"/>
      <c r="O119" s="411"/>
      <c r="P119" s="410"/>
      <c r="Q119" s="410"/>
      <c r="R119" s="410"/>
      <c r="S119" s="410"/>
      <c r="T119" s="410"/>
      <c r="U119" s="410"/>
      <c r="V119" s="410"/>
      <c r="W119" s="410"/>
      <c r="X119" s="410"/>
      <c r="Y119" s="410"/>
      <c r="Z119" s="410"/>
      <c r="AA119" s="410"/>
      <c r="AB119" s="410"/>
      <c r="AC119" s="410"/>
      <c r="AD119" s="410"/>
      <c r="AE119" s="410"/>
      <c r="AF119" s="410"/>
      <c r="AG119" s="410"/>
      <c r="AH119" s="410"/>
      <c r="AI119" s="410"/>
      <c r="AJ119" s="410"/>
      <c r="AK119" s="410"/>
      <c r="AL119" s="410"/>
      <c r="AM119" s="410"/>
      <c r="AN119" s="410"/>
      <c r="AO119" s="410"/>
      <c r="AP119" s="410"/>
      <c r="AQ119" s="410"/>
      <c r="AR119" s="410"/>
      <c r="AS119" s="410"/>
      <c r="AT119" s="410"/>
      <c r="AU119" s="410"/>
      <c r="AV119" s="410"/>
    </row>
    <row r="120" spans="1:48" s="50" customFormat="1" ht="15.75">
      <c r="A120" s="47">
        <v>5</v>
      </c>
      <c r="B120" s="7" t="s">
        <v>108</v>
      </c>
      <c r="C120" s="47" t="s">
        <v>96</v>
      </c>
      <c r="D120" s="6">
        <v>202</v>
      </c>
      <c r="E120" s="139">
        <v>597.456756</v>
      </c>
      <c r="F120" s="139"/>
      <c r="G120" s="139"/>
      <c r="H120" s="70"/>
      <c r="I120" s="70"/>
      <c r="J120" s="70"/>
      <c r="K120" s="49"/>
      <c r="L120" s="49"/>
      <c r="M120" s="70"/>
      <c r="N120" s="70"/>
      <c r="O120" s="411"/>
      <c r="P120" s="410"/>
      <c r="Q120" s="410"/>
      <c r="R120" s="410"/>
      <c r="S120" s="410"/>
      <c r="T120" s="410"/>
      <c r="U120" s="410"/>
      <c r="V120" s="410"/>
      <c r="W120" s="410"/>
      <c r="X120" s="410"/>
      <c r="Y120" s="410"/>
      <c r="Z120" s="410"/>
      <c r="AA120" s="410"/>
      <c r="AB120" s="410"/>
      <c r="AC120" s="410"/>
      <c r="AD120" s="410"/>
      <c r="AE120" s="410"/>
      <c r="AF120" s="410"/>
      <c r="AG120" s="410"/>
      <c r="AH120" s="410"/>
      <c r="AI120" s="410"/>
      <c r="AJ120" s="410"/>
      <c r="AK120" s="410"/>
      <c r="AL120" s="410"/>
      <c r="AM120" s="410"/>
      <c r="AN120" s="410"/>
      <c r="AO120" s="410"/>
      <c r="AP120" s="410"/>
      <c r="AQ120" s="410"/>
      <c r="AR120" s="410"/>
      <c r="AS120" s="410"/>
      <c r="AT120" s="410"/>
      <c r="AU120" s="410"/>
      <c r="AV120" s="410"/>
    </row>
    <row r="121" spans="1:48" s="50" customFormat="1" ht="15.75">
      <c r="A121" s="47">
        <v>6</v>
      </c>
      <c r="B121" s="7" t="s">
        <v>109</v>
      </c>
      <c r="C121" s="47" t="s">
        <v>96</v>
      </c>
      <c r="D121" s="6">
        <v>869</v>
      </c>
      <c r="E121" s="139">
        <v>124.8</v>
      </c>
      <c r="F121" s="139"/>
      <c r="G121" s="139"/>
      <c r="H121" s="70"/>
      <c r="I121" s="70"/>
      <c r="J121" s="70"/>
      <c r="K121" s="49"/>
      <c r="L121" s="49"/>
      <c r="M121" s="70"/>
      <c r="N121" s="70"/>
      <c r="O121" s="411"/>
      <c r="P121" s="410"/>
      <c r="Q121" s="410"/>
      <c r="R121" s="410"/>
      <c r="S121" s="410"/>
      <c r="T121" s="410"/>
      <c r="U121" s="410"/>
      <c r="V121" s="410"/>
      <c r="W121" s="410"/>
      <c r="X121" s="410"/>
      <c r="Y121" s="410"/>
      <c r="Z121" s="410"/>
      <c r="AA121" s="410"/>
      <c r="AB121" s="410"/>
      <c r="AC121" s="410"/>
      <c r="AD121" s="410"/>
      <c r="AE121" s="410"/>
      <c r="AF121" s="410"/>
      <c r="AG121" s="410"/>
      <c r="AH121" s="410"/>
      <c r="AI121" s="410"/>
      <c r="AJ121" s="410"/>
      <c r="AK121" s="410"/>
      <c r="AL121" s="410"/>
      <c r="AM121" s="410"/>
      <c r="AN121" s="410"/>
      <c r="AO121" s="410"/>
      <c r="AP121" s="410"/>
      <c r="AQ121" s="410"/>
      <c r="AR121" s="410"/>
      <c r="AS121" s="410"/>
      <c r="AT121" s="410"/>
      <c r="AU121" s="410"/>
      <c r="AV121" s="410"/>
    </row>
    <row r="122" spans="1:48" s="50" customFormat="1" ht="15.75">
      <c r="A122" s="47">
        <v>7</v>
      </c>
      <c r="B122" s="7" t="s">
        <v>110</v>
      </c>
      <c r="C122" s="47" t="s">
        <v>96</v>
      </c>
      <c r="D122" s="6"/>
      <c r="E122" s="139"/>
      <c r="F122" s="139"/>
      <c r="G122" s="139"/>
      <c r="H122" s="70"/>
      <c r="I122" s="70"/>
      <c r="J122" s="70"/>
      <c r="K122" s="49"/>
      <c r="L122" s="49"/>
      <c r="M122" s="70"/>
      <c r="N122" s="70"/>
      <c r="O122" s="411"/>
      <c r="P122" s="410"/>
      <c r="Q122" s="410"/>
      <c r="R122" s="410"/>
      <c r="S122" s="410"/>
      <c r="T122" s="410"/>
      <c r="U122" s="410"/>
      <c r="V122" s="410"/>
      <c r="W122" s="410"/>
      <c r="X122" s="410"/>
      <c r="Y122" s="410"/>
      <c r="Z122" s="410"/>
      <c r="AA122" s="410"/>
      <c r="AB122" s="410"/>
      <c r="AC122" s="410"/>
      <c r="AD122" s="410"/>
      <c r="AE122" s="410"/>
      <c r="AF122" s="410"/>
      <c r="AG122" s="410"/>
      <c r="AH122" s="410"/>
      <c r="AI122" s="410"/>
      <c r="AJ122" s="410"/>
      <c r="AK122" s="410"/>
      <c r="AL122" s="410"/>
      <c r="AM122" s="410"/>
      <c r="AN122" s="410"/>
      <c r="AO122" s="410"/>
      <c r="AP122" s="410"/>
      <c r="AQ122" s="410"/>
      <c r="AR122" s="410"/>
      <c r="AS122" s="410"/>
      <c r="AT122" s="410"/>
      <c r="AU122" s="410"/>
      <c r="AV122" s="410"/>
    </row>
    <row r="123" spans="1:48" s="50" customFormat="1" ht="15.75">
      <c r="A123" s="47">
        <v>8</v>
      </c>
      <c r="B123" s="7" t="s">
        <v>111</v>
      </c>
      <c r="C123" s="47" t="s">
        <v>96</v>
      </c>
      <c r="D123" s="70">
        <v>50.88</v>
      </c>
      <c r="E123" s="139">
        <v>63.946359</v>
      </c>
      <c r="F123" s="139"/>
      <c r="G123" s="213">
        <v>63.9</v>
      </c>
      <c r="H123" s="70"/>
      <c r="I123" s="70"/>
      <c r="J123" s="70"/>
      <c r="K123" s="49"/>
      <c r="L123" s="49"/>
      <c r="M123" s="70"/>
      <c r="N123" s="70"/>
      <c r="O123" s="411"/>
      <c r="P123" s="410"/>
      <c r="Q123" s="410"/>
      <c r="R123" s="410"/>
      <c r="S123" s="410"/>
      <c r="T123" s="410"/>
      <c r="U123" s="410"/>
      <c r="V123" s="410"/>
      <c r="W123" s="410"/>
      <c r="X123" s="410"/>
      <c r="Y123" s="410"/>
      <c r="Z123" s="410"/>
      <c r="AA123" s="410"/>
      <c r="AB123" s="410"/>
      <c r="AC123" s="410"/>
      <c r="AD123" s="410"/>
      <c r="AE123" s="410"/>
      <c r="AF123" s="410"/>
      <c r="AG123" s="410"/>
      <c r="AH123" s="410"/>
      <c r="AI123" s="410"/>
      <c r="AJ123" s="410"/>
      <c r="AK123" s="410"/>
      <c r="AL123" s="410"/>
      <c r="AM123" s="410"/>
      <c r="AN123" s="410"/>
      <c r="AO123" s="410"/>
      <c r="AP123" s="410"/>
      <c r="AQ123" s="410"/>
      <c r="AR123" s="410"/>
      <c r="AS123" s="410"/>
      <c r="AT123" s="410"/>
      <c r="AU123" s="410"/>
      <c r="AV123" s="410"/>
    </row>
    <row r="124" spans="1:48" s="66" customFormat="1" ht="18" customHeight="1">
      <c r="A124" s="51" t="s">
        <v>46</v>
      </c>
      <c r="B124" s="52" t="s">
        <v>112</v>
      </c>
      <c r="C124" s="53" t="s">
        <v>96</v>
      </c>
      <c r="D124" s="71">
        <f>SUM(D125:D132)-1</f>
        <v>943129</v>
      </c>
      <c r="E124" s="71">
        <f>SUM(E125:E132)</f>
        <v>1170445</v>
      </c>
      <c r="F124" s="71">
        <v>504786</v>
      </c>
      <c r="G124" s="71">
        <f>SUM(G125:G132)</f>
        <v>460895</v>
      </c>
      <c r="H124" s="71">
        <f>SUM(H125:H132)</f>
        <v>1022786</v>
      </c>
      <c r="I124" s="71">
        <f>SUM(I125:I132)</f>
        <v>1022786</v>
      </c>
      <c r="J124" s="69">
        <f>F124/G124*100</f>
        <v>109.52299330650148</v>
      </c>
      <c r="K124" s="55">
        <f>F124/H124*100</f>
        <v>49.35401931586862</v>
      </c>
      <c r="L124" s="55">
        <f>F124/I124*100</f>
        <v>49.35401931586862</v>
      </c>
      <c r="M124" s="71"/>
      <c r="N124" s="71">
        <f>SUM(N125:N132)</f>
        <v>1022786</v>
      </c>
      <c r="O124" s="412">
        <f>J124-J114</f>
        <v>-1.3983017816115222</v>
      </c>
      <c r="P124" s="413"/>
      <c r="Q124" s="413"/>
      <c r="R124" s="413"/>
      <c r="S124" s="421">
        <f>180540/I124*100</f>
        <v>17.651786395198997</v>
      </c>
      <c r="T124" s="421">
        <f>450155/I124*100</f>
        <v>44.01262825263545</v>
      </c>
      <c r="U124" s="413"/>
      <c r="V124" s="413"/>
      <c r="W124" s="413"/>
      <c r="X124" s="413"/>
      <c r="Y124" s="413"/>
      <c r="Z124" s="413"/>
      <c r="AA124" s="413"/>
      <c r="AB124" s="413"/>
      <c r="AC124" s="413"/>
      <c r="AD124" s="413"/>
      <c r="AE124" s="413"/>
      <c r="AF124" s="413"/>
      <c r="AG124" s="413"/>
      <c r="AH124" s="413"/>
      <c r="AI124" s="413"/>
      <c r="AJ124" s="413"/>
      <c r="AK124" s="413"/>
      <c r="AL124" s="413"/>
      <c r="AM124" s="413"/>
      <c r="AN124" s="413"/>
      <c r="AO124" s="413"/>
      <c r="AP124" s="413"/>
      <c r="AQ124" s="413"/>
      <c r="AR124" s="413"/>
      <c r="AS124" s="413"/>
      <c r="AT124" s="413"/>
      <c r="AU124" s="413"/>
      <c r="AV124" s="413"/>
    </row>
    <row r="125" spans="1:48" s="50" customFormat="1" ht="15.75">
      <c r="A125" s="47">
        <v>1</v>
      </c>
      <c r="B125" s="7" t="s">
        <v>113</v>
      </c>
      <c r="C125" s="47" t="s">
        <v>96</v>
      </c>
      <c r="D125" s="6">
        <v>780616</v>
      </c>
      <c r="E125" s="6">
        <v>818467</v>
      </c>
      <c r="F125" s="6">
        <f>F124-F126-F132</f>
        <v>487158</v>
      </c>
      <c r="G125" s="6">
        <v>364431</v>
      </c>
      <c r="H125" s="6">
        <v>798229</v>
      </c>
      <c r="I125" s="6">
        <v>798229</v>
      </c>
      <c r="J125" s="70">
        <f>F125/G125*100</f>
        <v>133.67633379158195</v>
      </c>
      <c r="K125" s="49">
        <f>F125/H125*100</f>
        <v>61.02985484115461</v>
      </c>
      <c r="L125" s="49">
        <f>F125/I125*100</f>
        <v>61.02985484115461</v>
      </c>
      <c r="M125" s="6"/>
      <c r="N125" s="6">
        <v>798229</v>
      </c>
      <c r="O125" s="411"/>
      <c r="P125" s="410"/>
      <c r="Q125" s="410"/>
      <c r="R125" s="410"/>
      <c r="S125" s="410"/>
      <c r="T125" s="410"/>
      <c r="U125" s="410"/>
      <c r="V125" s="410"/>
      <c r="W125" s="410"/>
      <c r="X125" s="410"/>
      <c r="Y125" s="410"/>
      <c r="Z125" s="410"/>
      <c r="AA125" s="410"/>
      <c r="AB125" s="410"/>
      <c r="AC125" s="410"/>
      <c r="AD125" s="410"/>
      <c r="AE125" s="410"/>
      <c r="AF125" s="410"/>
      <c r="AG125" s="410"/>
      <c r="AH125" s="410"/>
      <c r="AI125" s="410"/>
      <c r="AJ125" s="410"/>
      <c r="AK125" s="410"/>
      <c r="AL125" s="410"/>
      <c r="AM125" s="410"/>
      <c r="AN125" s="410"/>
      <c r="AO125" s="410"/>
      <c r="AP125" s="410"/>
      <c r="AQ125" s="410"/>
      <c r="AR125" s="410"/>
      <c r="AS125" s="410"/>
      <c r="AT125" s="410"/>
      <c r="AU125" s="410"/>
      <c r="AV125" s="410"/>
    </row>
    <row r="126" spans="1:48" s="50" customFormat="1" ht="15.75">
      <c r="A126" s="47">
        <v>2</v>
      </c>
      <c r="B126" s="7" t="s">
        <v>114</v>
      </c>
      <c r="C126" s="47" t="s">
        <v>96</v>
      </c>
      <c r="D126" s="6">
        <v>69085</v>
      </c>
      <c r="E126" s="6">
        <v>75738</v>
      </c>
      <c r="F126" s="6">
        <v>16028</v>
      </c>
      <c r="G126" s="6">
        <v>21584</v>
      </c>
      <c r="H126" s="6">
        <v>35761</v>
      </c>
      <c r="I126" s="6">
        <v>35761</v>
      </c>
      <c r="J126" s="70">
        <f>F126/G126*100</f>
        <v>74.25871015567087</v>
      </c>
      <c r="K126" s="49">
        <f>F126/H126*100</f>
        <v>44.81977573334079</v>
      </c>
      <c r="L126" s="49">
        <f>F126/I126*100</f>
        <v>44.81977573334079</v>
      </c>
      <c r="M126" s="6"/>
      <c r="N126" s="6">
        <v>35761</v>
      </c>
      <c r="O126" s="411"/>
      <c r="P126" s="410"/>
      <c r="Q126" s="410"/>
      <c r="R126" s="410"/>
      <c r="S126" s="410"/>
      <c r="T126" s="410"/>
      <c r="U126" s="410"/>
      <c r="V126" s="410"/>
      <c r="W126" s="410"/>
      <c r="X126" s="410"/>
      <c r="Y126" s="410"/>
      <c r="Z126" s="410"/>
      <c r="AA126" s="410"/>
      <c r="AB126" s="410"/>
      <c r="AC126" s="410"/>
      <c r="AD126" s="410"/>
      <c r="AE126" s="410"/>
      <c r="AF126" s="410"/>
      <c r="AG126" s="410"/>
      <c r="AH126" s="410"/>
      <c r="AI126" s="410"/>
      <c r="AJ126" s="410"/>
      <c r="AK126" s="410"/>
      <c r="AL126" s="410"/>
      <c r="AM126" s="410"/>
      <c r="AN126" s="410"/>
      <c r="AO126" s="410"/>
      <c r="AP126" s="410"/>
      <c r="AQ126" s="410"/>
      <c r="AR126" s="410"/>
      <c r="AS126" s="410"/>
      <c r="AT126" s="410"/>
      <c r="AU126" s="410"/>
      <c r="AV126" s="410"/>
    </row>
    <row r="127" spans="1:48" s="50" customFormat="1" ht="15.75">
      <c r="A127" s="47">
        <v>3</v>
      </c>
      <c r="B127" s="7" t="s">
        <v>115</v>
      </c>
      <c r="C127" s="47" t="s">
        <v>96</v>
      </c>
      <c r="D127" s="6">
        <v>18338</v>
      </c>
      <c r="E127" s="6">
        <v>209592.5</v>
      </c>
      <c r="F127" s="6"/>
      <c r="G127" s="6">
        <v>74666</v>
      </c>
      <c r="H127" s="6">
        <v>171553</v>
      </c>
      <c r="I127" s="6">
        <v>171553</v>
      </c>
      <c r="J127" s="70">
        <f>F127/G127*100</f>
        <v>0</v>
      </c>
      <c r="K127" s="49">
        <f>F127/H127*100</f>
        <v>0</v>
      </c>
      <c r="L127" s="49">
        <f>F127/I127*100</f>
        <v>0</v>
      </c>
      <c r="M127" s="6"/>
      <c r="N127" s="6">
        <v>171553</v>
      </c>
      <c r="O127" s="411"/>
      <c r="P127" s="410"/>
      <c r="Q127" s="410"/>
      <c r="R127" s="410"/>
      <c r="S127" s="410"/>
      <c r="T127" s="410"/>
      <c r="U127" s="410"/>
      <c r="V127" s="410"/>
      <c r="W127" s="410"/>
      <c r="X127" s="410"/>
      <c r="Y127" s="410"/>
      <c r="Z127" s="410"/>
      <c r="AA127" s="410"/>
      <c r="AB127" s="410"/>
      <c r="AC127" s="410"/>
      <c r="AD127" s="410"/>
      <c r="AE127" s="410"/>
      <c r="AF127" s="410"/>
      <c r="AG127" s="410"/>
      <c r="AH127" s="410"/>
      <c r="AI127" s="410"/>
      <c r="AJ127" s="410"/>
      <c r="AK127" s="410"/>
      <c r="AL127" s="410"/>
      <c r="AM127" s="410"/>
      <c r="AN127" s="410"/>
      <c r="AO127" s="410"/>
      <c r="AP127" s="410"/>
      <c r="AQ127" s="410"/>
      <c r="AR127" s="410"/>
      <c r="AS127" s="410"/>
      <c r="AT127" s="410"/>
      <c r="AU127" s="410"/>
      <c r="AV127" s="410"/>
    </row>
    <row r="128" spans="1:48" s="50" customFormat="1" ht="15.75">
      <c r="A128" s="47">
        <v>4</v>
      </c>
      <c r="B128" s="7" t="s">
        <v>116</v>
      </c>
      <c r="C128" s="47" t="s">
        <v>96</v>
      </c>
      <c r="D128" s="6">
        <v>90</v>
      </c>
      <c r="E128" s="6">
        <v>220</v>
      </c>
      <c r="F128" s="6"/>
      <c r="G128" s="6">
        <v>214</v>
      </c>
      <c r="H128" s="6">
        <v>223</v>
      </c>
      <c r="I128" s="6">
        <v>223</v>
      </c>
      <c r="J128" s="69"/>
      <c r="K128" s="55"/>
      <c r="L128" s="55"/>
      <c r="M128" s="6"/>
      <c r="N128" s="6">
        <v>223</v>
      </c>
      <c r="O128" s="411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0"/>
      <c r="AB128" s="410"/>
      <c r="AC128" s="410"/>
      <c r="AD128" s="410"/>
      <c r="AE128" s="410"/>
      <c r="AF128" s="410"/>
      <c r="AG128" s="410"/>
      <c r="AH128" s="410"/>
      <c r="AI128" s="410"/>
      <c r="AJ128" s="410"/>
      <c r="AK128" s="410"/>
      <c r="AL128" s="410"/>
      <c r="AM128" s="410"/>
      <c r="AN128" s="410"/>
      <c r="AO128" s="410"/>
      <c r="AP128" s="410"/>
      <c r="AQ128" s="410"/>
      <c r="AR128" s="410"/>
      <c r="AS128" s="410"/>
      <c r="AT128" s="410"/>
      <c r="AU128" s="410"/>
      <c r="AV128" s="410"/>
    </row>
    <row r="129" spans="1:48" s="50" customFormat="1" ht="15.75">
      <c r="A129" s="47">
        <v>5</v>
      </c>
      <c r="B129" s="7" t="s">
        <v>611</v>
      </c>
      <c r="C129" s="47"/>
      <c r="D129" s="6"/>
      <c r="E129" s="6"/>
      <c r="F129" s="6"/>
      <c r="G129" s="6"/>
      <c r="H129" s="6"/>
      <c r="I129" s="6"/>
      <c r="J129" s="69"/>
      <c r="K129" s="55"/>
      <c r="L129" s="55"/>
      <c r="M129" s="6"/>
      <c r="N129" s="6"/>
      <c r="O129" s="411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0"/>
      <c r="AB129" s="410"/>
      <c r="AC129" s="410"/>
      <c r="AD129" s="410"/>
      <c r="AE129" s="410"/>
      <c r="AF129" s="410"/>
      <c r="AG129" s="410"/>
      <c r="AH129" s="410"/>
      <c r="AI129" s="410"/>
      <c r="AJ129" s="410"/>
      <c r="AK129" s="410"/>
      <c r="AL129" s="410"/>
      <c r="AM129" s="410"/>
      <c r="AN129" s="410"/>
      <c r="AO129" s="410"/>
      <c r="AP129" s="410"/>
      <c r="AQ129" s="410"/>
      <c r="AR129" s="410"/>
      <c r="AS129" s="410"/>
      <c r="AT129" s="410"/>
      <c r="AU129" s="410"/>
      <c r="AV129" s="410"/>
    </row>
    <row r="130" spans="1:48" s="50" customFormat="1" ht="15.75">
      <c r="A130" s="47">
        <v>6</v>
      </c>
      <c r="B130" s="7" t="s">
        <v>117</v>
      </c>
      <c r="C130" s="47" t="s">
        <v>96</v>
      </c>
      <c r="D130" s="6">
        <v>60533</v>
      </c>
      <c r="E130" s="6">
        <v>49425.5</v>
      </c>
      <c r="F130" s="6"/>
      <c r="G130" s="6"/>
      <c r="H130" s="6"/>
      <c r="I130" s="6"/>
      <c r="J130" s="69"/>
      <c r="K130" s="55"/>
      <c r="L130" s="55"/>
      <c r="M130" s="6"/>
      <c r="N130" s="6"/>
      <c r="O130" s="411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0"/>
      <c r="AB130" s="410"/>
      <c r="AC130" s="410"/>
      <c r="AD130" s="410"/>
      <c r="AE130" s="410"/>
      <c r="AF130" s="410"/>
      <c r="AG130" s="410"/>
      <c r="AH130" s="410"/>
      <c r="AI130" s="410"/>
      <c r="AJ130" s="410"/>
      <c r="AK130" s="410"/>
      <c r="AL130" s="410"/>
      <c r="AM130" s="410"/>
      <c r="AN130" s="410"/>
      <c r="AO130" s="410"/>
      <c r="AP130" s="410"/>
      <c r="AQ130" s="410"/>
      <c r="AR130" s="410"/>
      <c r="AS130" s="410"/>
      <c r="AT130" s="410"/>
      <c r="AU130" s="410"/>
      <c r="AV130" s="410"/>
    </row>
    <row r="131" spans="1:48" s="50" customFormat="1" ht="15.75">
      <c r="A131" s="47">
        <v>7</v>
      </c>
      <c r="B131" s="7" t="s">
        <v>118</v>
      </c>
      <c r="C131" s="47" t="s">
        <v>96</v>
      </c>
      <c r="D131" s="6">
        <v>8624</v>
      </c>
      <c r="E131" s="6">
        <v>2595.5</v>
      </c>
      <c r="F131" s="6"/>
      <c r="G131" s="6"/>
      <c r="H131" s="6"/>
      <c r="I131" s="6"/>
      <c r="J131" s="69"/>
      <c r="K131" s="55"/>
      <c r="L131" s="55"/>
      <c r="M131" s="6"/>
      <c r="N131" s="6"/>
      <c r="O131" s="411"/>
      <c r="P131" s="410"/>
      <c r="Q131" s="410"/>
      <c r="R131" s="410"/>
      <c r="S131" s="410"/>
      <c r="T131" s="410"/>
      <c r="U131" s="410"/>
      <c r="V131" s="410"/>
      <c r="W131" s="410"/>
      <c r="X131" s="410"/>
      <c r="Y131" s="410"/>
      <c r="Z131" s="410"/>
      <c r="AA131" s="410"/>
      <c r="AB131" s="410"/>
      <c r="AC131" s="410"/>
      <c r="AD131" s="410"/>
      <c r="AE131" s="410"/>
      <c r="AF131" s="410"/>
      <c r="AG131" s="410"/>
      <c r="AH131" s="410"/>
      <c r="AI131" s="410"/>
      <c r="AJ131" s="410"/>
      <c r="AK131" s="410"/>
      <c r="AL131" s="410"/>
      <c r="AM131" s="410"/>
      <c r="AN131" s="410"/>
      <c r="AO131" s="410"/>
      <c r="AP131" s="410"/>
      <c r="AQ131" s="410"/>
      <c r="AR131" s="410"/>
      <c r="AS131" s="410"/>
      <c r="AT131" s="410"/>
      <c r="AU131" s="410"/>
      <c r="AV131" s="410"/>
    </row>
    <row r="132" spans="1:48" s="50" customFormat="1" ht="15.75">
      <c r="A132" s="47">
        <v>8</v>
      </c>
      <c r="B132" s="7" t="s">
        <v>119</v>
      </c>
      <c r="C132" s="47" t="s">
        <v>96</v>
      </c>
      <c r="D132" s="6">
        <v>5844</v>
      </c>
      <c r="E132" s="6">
        <v>14406.5</v>
      </c>
      <c r="F132" s="6">
        <v>1600</v>
      </c>
      <c r="G132" s="6"/>
      <c r="H132" s="6">
        <v>17020</v>
      </c>
      <c r="I132" s="6">
        <v>17020</v>
      </c>
      <c r="J132" s="69"/>
      <c r="K132" s="55"/>
      <c r="L132" s="55"/>
      <c r="M132" s="6"/>
      <c r="N132" s="6">
        <v>17020</v>
      </c>
      <c r="O132" s="411"/>
      <c r="P132" s="410"/>
      <c r="Q132" s="410"/>
      <c r="R132" s="410"/>
      <c r="S132" s="410"/>
      <c r="T132" s="410"/>
      <c r="U132" s="410"/>
      <c r="V132" s="410"/>
      <c r="W132" s="410"/>
      <c r="X132" s="410"/>
      <c r="Y132" s="410"/>
      <c r="Z132" s="410"/>
      <c r="AA132" s="410"/>
      <c r="AB132" s="410"/>
      <c r="AC132" s="410"/>
      <c r="AD132" s="410"/>
      <c r="AE132" s="410"/>
      <c r="AF132" s="410"/>
      <c r="AG132" s="410"/>
      <c r="AH132" s="410"/>
      <c r="AI132" s="410"/>
      <c r="AJ132" s="410"/>
      <c r="AK132" s="410"/>
      <c r="AL132" s="410"/>
      <c r="AM132" s="410"/>
      <c r="AN132" s="410"/>
      <c r="AO132" s="410"/>
      <c r="AP132" s="410"/>
      <c r="AQ132" s="410"/>
      <c r="AR132" s="410"/>
      <c r="AS132" s="410"/>
      <c r="AT132" s="410"/>
      <c r="AU132" s="410"/>
      <c r="AV132" s="410"/>
    </row>
    <row r="133" spans="1:13" ht="15.75">
      <c r="A133" s="104"/>
      <c r="M133" s="42"/>
    </row>
    <row r="134" ht="15.75">
      <c r="M134" s="42"/>
    </row>
    <row r="135" ht="15.75">
      <c r="M135" s="42"/>
    </row>
    <row r="136" ht="15.75">
      <c r="M136" s="42"/>
    </row>
    <row r="137" ht="15.75">
      <c r="M137" s="42"/>
    </row>
    <row r="138" ht="15.75">
      <c r="M138" s="42"/>
    </row>
    <row r="139" ht="15.75">
      <c r="M139" s="42"/>
    </row>
    <row r="140" ht="15.75">
      <c r="M140" s="42"/>
    </row>
    <row r="141" ht="15.75">
      <c r="M141" s="42"/>
    </row>
    <row r="142" ht="15.75">
      <c r="M142" s="42"/>
    </row>
    <row r="143" ht="15.75">
      <c r="M143" s="42"/>
    </row>
    <row r="144" ht="15.75">
      <c r="M144" s="42"/>
    </row>
    <row r="145" ht="15.75">
      <c r="M145" s="42"/>
    </row>
    <row r="146" ht="15.75">
      <c r="M146" s="42"/>
    </row>
    <row r="147" ht="15.75">
      <c r="M147" s="42"/>
    </row>
    <row r="148" ht="15.75">
      <c r="M148" s="42"/>
    </row>
    <row r="149" ht="15.75">
      <c r="M149" s="42"/>
    </row>
    <row r="150" ht="15.75">
      <c r="M150" s="42"/>
    </row>
    <row r="151" ht="15.75">
      <c r="M151" s="42"/>
    </row>
    <row r="152" ht="15.75">
      <c r="M152" s="42"/>
    </row>
    <row r="153" ht="15.75">
      <c r="M153" s="42"/>
    </row>
    <row r="154" ht="15.75">
      <c r="M154" s="42"/>
    </row>
    <row r="155" ht="15.75">
      <c r="M155" s="42"/>
    </row>
    <row r="156" ht="15.75">
      <c r="M156" s="42"/>
    </row>
    <row r="157" ht="15.75">
      <c r="M157" s="42"/>
    </row>
    <row r="158" ht="15.75">
      <c r="M158" s="42"/>
    </row>
    <row r="159" ht="15.75">
      <c r="M159" s="42"/>
    </row>
    <row r="160" ht="15.75">
      <c r="M160" s="42"/>
    </row>
    <row r="161" ht="15.75">
      <c r="M161" s="42"/>
    </row>
    <row r="162" ht="15.75">
      <c r="M162" s="42"/>
    </row>
    <row r="163" ht="15.75">
      <c r="M163" s="42"/>
    </row>
    <row r="164" ht="15.75">
      <c r="M164" s="42"/>
    </row>
    <row r="165" ht="15.75">
      <c r="M165" s="42"/>
    </row>
    <row r="166" ht="15.75">
      <c r="M166" s="42"/>
    </row>
    <row r="167" ht="15.75">
      <c r="M167" s="42"/>
    </row>
    <row r="168" ht="15.75">
      <c r="M168" s="42"/>
    </row>
    <row r="169" ht="15.75">
      <c r="M169" s="42"/>
    </row>
    <row r="170" ht="15.75">
      <c r="M170" s="42"/>
    </row>
    <row r="171" ht="15.75">
      <c r="M171" s="42"/>
    </row>
    <row r="172" ht="15.75">
      <c r="M172" s="42"/>
    </row>
  </sheetData>
  <sheetProtection/>
  <mergeCells count="19">
    <mergeCell ref="E5:E8"/>
    <mergeCell ref="J7:J8"/>
    <mergeCell ref="N5:N8"/>
    <mergeCell ref="M5:M8"/>
    <mergeCell ref="J5:L6"/>
    <mergeCell ref="K7:K8"/>
    <mergeCell ref="L7:L8"/>
    <mergeCell ref="F5:F8"/>
    <mergeCell ref="G5:G8"/>
    <mergeCell ref="L1:N1"/>
    <mergeCell ref="A2:N2"/>
    <mergeCell ref="A3:N3"/>
    <mergeCell ref="A5:A8"/>
    <mergeCell ref="B5:B8"/>
    <mergeCell ref="C5:C8"/>
    <mergeCell ref="D5:D8"/>
    <mergeCell ref="H5:I6"/>
    <mergeCell ref="H7:H8"/>
    <mergeCell ref="I7:I8"/>
  </mergeCells>
  <printOptions horizontalCentered="1"/>
  <pageMargins left="0" right="0" top="0.5" bottom="0.5" header="0.5" footer="0.5"/>
  <pageSetup firstPageNumber="1" useFirstPageNumber="1" horizontalDpi="600" verticalDpi="600" orientation="landscape" paperSize="9" scale="8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155"/>
  <sheetViews>
    <sheetView view="pageBreakPreview" zoomScale="75" zoomScaleSheetLayoutView="75" zoomScalePageLayoutView="0" workbookViewId="0" topLeftCell="A1">
      <selection activeCell="A4" sqref="A4"/>
    </sheetView>
  </sheetViews>
  <sheetFormatPr defaultColWidth="9.00390625" defaultRowHeight="15.75"/>
  <cols>
    <col min="1" max="1" width="4.125" style="50" customWidth="1"/>
    <col min="2" max="2" width="47.00390625" style="50" customWidth="1"/>
    <col min="3" max="3" width="8.00390625" style="50" customWidth="1"/>
    <col min="4" max="4" width="10.875" style="50" hidden="1" customWidth="1"/>
    <col min="5" max="5" width="10.875" style="50" customWidth="1"/>
    <col min="6" max="6" width="10.875" style="824" customWidth="1"/>
    <col min="7" max="7" width="10.875" style="50" customWidth="1"/>
    <col min="8" max="8" width="10.00390625" style="824" customWidth="1"/>
    <col min="9" max="9" width="10.375" style="824" customWidth="1"/>
    <col min="10" max="10" width="12.00390625" style="50" customWidth="1"/>
    <col min="11" max="11" width="13.00390625" style="50" customWidth="1"/>
    <col min="12" max="12" width="12.75390625" style="50" customWidth="1"/>
    <col min="13" max="13" width="11.625" style="50" hidden="1" customWidth="1"/>
    <col min="14" max="14" width="12.00390625" style="824" customWidth="1"/>
    <col min="15" max="15" width="9.875" style="345" customWidth="1"/>
    <col min="16" max="17" width="9.00390625" style="345" customWidth="1"/>
    <col min="18" max="16384" width="9.00390625" style="50" customWidth="1"/>
  </cols>
  <sheetData>
    <row r="1" spans="1:15" ht="18" customHeight="1">
      <c r="A1" s="78"/>
      <c r="B1" s="78"/>
      <c r="C1" s="79"/>
      <c r="D1" s="78"/>
      <c r="E1" s="78"/>
      <c r="F1" s="736"/>
      <c r="G1" s="78"/>
      <c r="H1" s="736"/>
      <c r="I1" s="736"/>
      <c r="J1" s="78"/>
      <c r="K1" s="1"/>
      <c r="L1" s="825" t="s">
        <v>602</v>
      </c>
      <c r="M1" s="825"/>
      <c r="N1" s="825"/>
      <c r="O1" s="347"/>
    </row>
    <row r="2" spans="1:15" ht="20.25" customHeight="1">
      <c r="A2" s="826" t="s">
        <v>694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348"/>
    </row>
    <row r="3" spans="1:15" ht="15.75">
      <c r="A3" s="855" t="str">
        <f>'BIỂU 01'!A3:N3</f>
        <v>(Kèm theo Báo cáo            /BC-UBND, ngày      /6/2024 của UBND huyện Điện Biên)</v>
      </c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349"/>
    </row>
    <row r="4" spans="1:15" ht="4.5" customHeight="1">
      <c r="A4" s="80"/>
      <c r="B4" s="81"/>
      <c r="C4" s="82"/>
      <c r="D4" s="81"/>
      <c r="E4" s="81"/>
      <c r="F4" s="737"/>
      <c r="G4" s="81"/>
      <c r="H4" s="743"/>
      <c r="I4" s="743"/>
      <c r="J4" s="80"/>
      <c r="K4" s="825"/>
      <c r="L4" s="825"/>
      <c r="M4" s="825"/>
      <c r="N4" s="736"/>
      <c r="O4" s="350"/>
    </row>
    <row r="5" spans="1:15" ht="8.25" customHeight="1">
      <c r="A5" s="856" t="s">
        <v>120</v>
      </c>
      <c r="B5" s="857" t="s">
        <v>2</v>
      </c>
      <c r="C5" s="843" t="s">
        <v>121</v>
      </c>
      <c r="D5" s="844" t="s">
        <v>670</v>
      </c>
      <c r="E5" s="740" t="s">
        <v>687</v>
      </c>
      <c r="F5" s="851" t="s">
        <v>689</v>
      </c>
      <c r="G5" s="740" t="s">
        <v>690</v>
      </c>
      <c r="H5" s="847" t="s">
        <v>672</v>
      </c>
      <c r="I5" s="848"/>
      <c r="J5" s="725" t="s">
        <v>4</v>
      </c>
      <c r="K5" s="838"/>
      <c r="L5" s="829"/>
      <c r="M5" s="834" t="s">
        <v>672</v>
      </c>
      <c r="N5" s="854" t="s">
        <v>691</v>
      </c>
      <c r="O5" s="351"/>
    </row>
    <row r="6" spans="1:15" ht="19.5" customHeight="1">
      <c r="A6" s="856"/>
      <c r="B6" s="857"/>
      <c r="C6" s="843"/>
      <c r="D6" s="844"/>
      <c r="E6" s="741"/>
      <c r="F6" s="852"/>
      <c r="G6" s="741"/>
      <c r="H6" s="849"/>
      <c r="I6" s="850"/>
      <c r="J6" s="830"/>
      <c r="K6" s="839"/>
      <c r="L6" s="831"/>
      <c r="M6" s="834"/>
      <c r="N6" s="854"/>
      <c r="O6" s="351" t="s">
        <v>571</v>
      </c>
    </row>
    <row r="7" spans="1:15" ht="34.5" customHeight="1">
      <c r="A7" s="856"/>
      <c r="B7" s="857"/>
      <c r="C7" s="843"/>
      <c r="D7" s="844"/>
      <c r="E7" s="741"/>
      <c r="F7" s="852"/>
      <c r="G7" s="741"/>
      <c r="H7" s="845" t="s">
        <v>6</v>
      </c>
      <c r="I7" s="845" t="s">
        <v>7</v>
      </c>
      <c r="J7" s="832" t="s">
        <v>692</v>
      </c>
      <c r="K7" s="834" t="s">
        <v>704</v>
      </c>
      <c r="L7" s="834" t="s">
        <v>705</v>
      </c>
      <c r="M7" s="834"/>
      <c r="N7" s="854"/>
      <c r="O7" s="351"/>
    </row>
    <row r="8" spans="1:15" ht="54" customHeight="1">
      <c r="A8" s="856"/>
      <c r="B8" s="857"/>
      <c r="C8" s="843"/>
      <c r="D8" s="844"/>
      <c r="E8" s="742"/>
      <c r="F8" s="853"/>
      <c r="G8" s="742"/>
      <c r="H8" s="846"/>
      <c r="I8" s="846"/>
      <c r="J8" s="833"/>
      <c r="K8" s="834"/>
      <c r="L8" s="834"/>
      <c r="M8" s="834"/>
      <c r="N8" s="854"/>
      <c r="O8" s="351"/>
    </row>
    <row r="9" spans="1:15" ht="18" customHeight="1">
      <c r="A9" s="21" t="s">
        <v>9</v>
      </c>
      <c r="B9" s="21" t="s">
        <v>10</v>
      </c>
      <c r="C9" s="83" t="s">
        <v>11</v>
      </c>
      <c r="D9" s="20">
        <v>1</v>
      </c>
      <c r="E9" s="20">
        <v>1</v>
      </c>
      <c r="F9" s="744">
        <v>2</v>
      </c>
      <c r="G9" s="20">
        <v>3</v>
      </c>
      <c r="H9" s="744">
        <v>4</v>
      </c>
      <c r="I9" s="744">
        <v>5</v>
      </c>
      <c r="J9" s="20" t="s">
        <v>695</v>
      </c>
      <c r="K9" s="8" t="s">
        <v>699</v>
      </c>
      <c r="L9" s="8" t="s">
        <v>700</v>
      </c>
      <c r="M9" s="20">
        <v>8</v>
      </c>
      <c r="N9" s="745">
        <v>9</v>
      </c>
      <c r="O9" s="352"/>
    </row>
    <row r="10" spans="1:17" ht="15.75">
      <c r="A10" s="127" t="s">
        <v>14</v>
      </c>
      <c r="B10" s="128" t="s">
        <v>122</v>
      </c>
      <c r="C10" s="129" t="s">
        <v>123</v>
      </c>
      <c r="D10" s="131">
        <f>D12+D31+D75</f>
        <v>27845</v>
      </c>
      <c r="E10" s="131">
        <f>E12+E31+E75</f>
        <v>27658</v>
      </c>
      <c r="F10" s="746">
        <f>F12+F39+F51+F64+F75</f>
        <v>27604</v>
      </c>
      <c r="G10" s="131">
        <f>G12+G31+G75</f>
        <v>27665</v>
      </c>
      <c r="H10" s="746">
        <f>H12+H31+H75</f>
        <v>27043</v>
      </c>
      <c r="I10" s="746">
        <f>I12+I31+I75</f>
        <v>27049</v>
      </c>
      <c r="J10" s="130">
        <f>F10/G10*100</f>
        <v>99.77950478944516</v>
      </c>
      <c r="K10" s="130">
        <f>F10/H10*100</f>
        <v>102.07447398587435</v>
      </c>
      <c r="L10" s="130">
        <f>F10/I10*100</f>
        <v>102.05183186069726</v>
      </c>
      <c r="M10" s="131"/>
      <c r="N10" s="747">
        <v>27049</v>
      </c>
      <c r="O10" s="353">
        <v>27644</v>
      </c>
      <c r="P10" s="354" t="e">
        <f>E10-#REF!</f>
        <v>#REF!</v>
      </c>
      <c r="Q10" s="345">
        <f>J10/H10*100</f>
        <v>0.3689661087506754</v>
      </c>
    </row>
    <row r="11" spans="1:15" ht="15.75">
      <c r="A11" s="127">
        <v>1</v>
      </c>
      <c r="B11" s="128" t="s">
        <v>124</v>
      </c>
      <c r="C11" s="129"/>
      <c r="D11" s="156"/>
      <c r="E11" s="156"/>
      <c r="F11" s="748"/>
      <c r="G11" s="156"/>
      <c r="H11" s="748"/>
      <c r="I11" s="746"/>
      <c r="J11" s="130"/>
      <c r="K11" s="130"/>
      <c r="L11" s="130"/>
      <c r="M11" s="131"/>
      <c r="N11" s="747"/>
      <c r="O11" s="353"/>
    </row>
    <row r="12" spans="1:17" s="480" customFormat="1" ht="15.75">
      <c r="A12" s="594" t="s">
        <v>125</v>
      </c>
      <c r="B12" s="595" t="s">
        <v>126</v>
      </c>
      <c r="C12" s="596" t="s">
        <v>123</v>
      </c>
      <c r="D12" s="597">
        <v>7378</v>
      </c>
      <c r="E12" s="597">
        <v>6953</v>
      </c>
      <c r="F12" s="749">
        <v>7081</v>
      </c>
      <c r="G12" s="597">
        <v>7474</v>
      </c>
      <c r="H12" s="750">
        <f>H13+H14</f>
        <v>6517</v>
      </c>
      <c r="I12" s="750">
        <f>I13+I14</f>
        <v>6517</v>
      </c>
      <c r="J12" s="607">
        <f>F12/G12*100</f>
        <v>94.74177147444475</v>
      </c>
      <c r="K12" s="607">
        <f>F12/H12*100</f>
        <v>108.65428878318244</v>
      </c>
      <c r="L12" s="607">
        <f>F12/I12*100</f>
        <v>108.65428878318244</v>
      </c>
      <c r="M12" s="598"/>
      <c r="N12" s="751">
        <v>6517</v>
      </c>
      <c r="O12" s="600">
        <v>7204</v>
      </c>
      <c r="P12" s="601"/>
      <c r="Q12" s="601"/>
    </row>
    <row r="13" spans="1:17" ht="15.75">
      <c r="A13" s="135"/>
      <c r="B13" s="136" t="s">
        <v>127</v>
      </c>
      <c r="C13" s="137" t="s">
        <v>128</v>
      </c>
      <c r="D13" s="157">
        <v>1976</v>
      </c>
      <c r="E13" s="157">
        <v>1847</v>
      </c>
      <c r="F13" s="752">
        <v>1988</v>
      </c>
      <c r="G13" s="157">
        <v>2099</v>
      </c>
      <c r="H13" s="753">
        <v>1647</v>
      </c>
      <c r="I13" s="753">
        <v>1647</v>
      </c>
      <c r="J13" s="526">
        <f>F13/G13*100</f>
        <v>94.7117675083373</v>
      </c>
      <c r="K13" s="526">
        <f>F13/H13*100</f>
        <v>120.70431086824529</v>
      </c>
      <c r="L13" s="526">
        <f>F13/I13*100</f>
        <v>120.70431086824529</v>
      </c>
      <c r="M13" s="209"/>
      <c r="N13" s="754">
        <v>1647</v>
      </c>
      <c r="O13" s="384">
        <v>1947</v>
      </c>
      <c r="P13" s="117"/>
      <c r="Q13" s="117"/>
    </row>
    <row r="14" spans="1:15" ht="15.75">
      <c r="A14" s="135"/>
      <c r="B14" s="136" t="s">
        <v>129</v>
      </c>
      <c r="C14" s="137" t="s">
        <v>123</v>
      </c>
      <c r="D14" s="159">
        <v>5402</v>
      </c>
      <c r="E14" s="159">
        <v>5106</v>
      </c>
      <c r="F14" s="755">
        <v>5093</v>
      </c>
      <c r="G14" s="159">
        <v>5375</v>
      </c>
      <c r="H14" s="753">
        <v>4870</v>
      </c>
      <c r="I14" s="753">
        <v>4870</v>
      </c>
      <c r="J14" s="526">
        <f aca="true" t="shared" si="0" ref="J14:J75">F14/G14*100</f>
        <v>94.75348837209302</v>
      </c>
      <c r="K14" s="526">
        <f aca="true" t="shared" si="1" ref="K14:K75">F14/H14*100</f>
        <v>104.57905544147843</v>
      </c>
      <c r="L14" s="526">
        <f aca="true" t="shared" si="2" ref="L14:L75">F14/I14*100</f>
        <v>104.57905544147843</v>
      </c>
      <c r="M14" s="209"/>
      <c r="N14" s="754">
        <v>4870</v>
      </c>
      <c r="O14" s="355">
        <v>5257</v>
      </c>
    </row>
    <row r="15" spans="1:15" ht="15.75">
      <c r="A15" s="135"/>
      <c r="B15" s="136" t="s">
        <v>130</v>
      </c>
      <c r="C15" s="137" t="s">
        <v>123</v>
      </c>
      <c r="D15" s="159">
        <v>1926</v>
      </c>
      <c r="E15" s="159">
        <v>1706</v>
      </c>
      <c r="F15" s="755">
        <v>1699</v>
      </c>
      <c r="G15" s="159">
        <v>1911</v>
      </c>
      <c r="H15" s="753">
        <v>1752</v>
      </c>
      <c r="I15" s="753">
        <v>1752</v>
      </c>
      <c r="J15" s="526">
        <f t="shared" si="0"/>
        <v>88.90633176347463</v>
      </c>
      <c r="K15" s="526">
        <f t="shared" si="1"/>
        <v>96.97488584474885</v>
      </c>
      <c r="L15" s="526">
        <f t="shared" si="2"/>
        <v>96.97488584474885</v>
      </c>
      <c r="M15" s="209"/>
      <c r="N15" s="754">
        <v>1752</v>
      </c>
      <c r="O15" s="355">
        <v>1763</v>
      </c>
    </row>
    <row r="16" spans="1:17" s="480" customFormat="1" ht="15.75">
      <c r="A16" s="594" t="s">
        <v>131</v>
      </c>
      <c r="B16" s="595" t="s">
        <v>132</v>
      </c>
      <c r="C16" s="596"/>
      <c r="D16" s="609">
        <v>305</v>
      </c>
      <c r="E16" s="609">
        <v>303</v>
      </c>
      <c r="F16" s="756">
        <v>303</v>
      </c>
      <c r="G16" s="609">
        <v>305</v>
      </c>
      <c r="H16" s="757">
        <v>298</v>
      </c>
      <c r="I16" s="757">
        <v>298</v>
      </c>
      <c r="J16" s="607">
        <f t="shared" si="0"/>
        <v>99.34426229508196</v>
      </c>
      <c r="K16" s="607">
        <f t="shared" si="1"/>
        <v>101.6778523489933</v>
      </c>
      <c r="L16" s="607">
        <f t="shared" si="2"/>
        <v>101.6778523489933</v>
      </c>
      <c r="M16" s="610"/>
      <c r="N16" s="758">
        <v>298</v>
      </c>
      <c r="O16" s="611">
        <v>302</v>
      </c>
      <c r="P16" s="612">
        <f>I16+I33</f>
        <v>976</v>
      </c>
      <c r="Q16" s="612">
        <f>673+J16</f>
        <v>772.344262295082</v>
      </c>
    </row>
    <row r="17" spans="1:15" ht="15.75">
      <c r="A17" s="135"/>
      <c r="B17" s="140" t="s">
        <v>133</v>
      </c>
      <c r="C17" s="137"/>
      <c r="D17" s="159">
        <v>91</v>
      </c>
      <c r="E17" s="159">
        <v>89</v>
      </c>
      <c r="F17" s="755">
        <v>89</v>
      </c>
      <c r="G17" s="159">
        <v>91</v>
      </c>
      <c r="H17" s="759">
        <v>86</v>
      </c>
      <c r="I17" s="759">
        <v>86</v>
      </c>
      <c r="J17" s="526">
        <f t="shared" si="0"/>
        <v>97.8021978021978</v>
      </c>
      <c r="K17" s="526">
        <f t="shared" si="1"/>
        <v>103.48837209302326</v>
      </c>
      <c r="L17" s="526">
        <f t="shared" si="2"/>
        <v>103.48837209302326</v>
      </c>
      <c r="M17" s="158"/>
      <c r="N17" s="754">
        <v>86</v>
      </c>
      <c r="O17" s="355">
        <v>88</v>
      </c>
    </row>
    <row r="18" spans="1:15" ht="15.75">
      <c r="A18" s="135"/>
      <c r="B18" s="140" t="s">
        <v>134</v>
      </c>
      <c r="C18" s="137"/>
      <c r="D18" s="159">
        <v>214</v>
      </c>
      <c r="E18" s="159">
        <v>214</v>
      </c>
      <c r="F18" s="755">
        <v>214</v>
      </c>
      <c r="G18" s="159">
        <v>214</v>
      </c>
      <c r="H18" s="759">
        <v>212</v>
      </c>
      <c r="I18" s="759">
        <v>212</v>
      </c>
      <c r="J18" s="526">
        <f t="shared" si="0"/>
        <v>100</v>
      </c>
      <c r="K18" s="526">
        <f t="shared" si="1"/>
        <v>100.9433962264151</v>
      </c>
      <c r="L18" s="526">
        <f t="shared" si="2"/>
        <v>100.9433962264151</v>
      </c>
      <c r="M18" s="158"/>
      <c r="N18" s="754">
        <v>212</v>
      </c>
      <c r="O18" s="355">
        <v>214</v>
      </c>
    </row>
    <row r="19" spans="1:15" ht="15.75">
      <c r="A19" s="135"/>
      <c r="B19" s="140" t="s">
        <v>135</v>
      </c>
      <c r="C19" s="137"/>
      <c r="D19" s="159">
        <v>116</v>
      </c>
      <c r="E19" s="159">
        <v>114</v>
      </c>
      <c r="F19" s="755">
        <v>114</v>
      </c>
      <c r="G19" s="159">
        <v>116</v>
      </c>
      <c r="H19" s="759">
        <v>109</v>
      </c>
      <c r="I19" s="759">
        <v>109</v>
      </c>
      <c r="J19" s="526">
        <f t="shared" si="0"/>
        <v>98.27586206896551</v>
      </c>
      <c r="K19" s="526">
        <f t="shared" si="1"/>
        <v>104.58715596330275</v>
      </c>
      <c r="L19" s="526">
        <f t="shared" si="2"/>
        <v>104.58715596330275</v>
      </c>
      <c r="M19" s="158"/>
      <c r="N19" s="754">
        <v>109</v>
      </c>
      <c r="O19" s="355">
        <v>107</v>
      </c>
    </row>
    <row r="20" spans="1:15" ht="15.75">
      <c r="A20" s="141" t="s">
        <v>136</v>
      </c>
      <c r="B20" s="142" t="s">
        <v>137</v>
      </c>
      <c r="C20" s="143"/>
      <c r="D20" s="160"/>
      <c r="E20" s="160"/>
      <c r="F20" s="760"/>
      <c r="G20" s="160"/>
      <c r="H20" s="761"/>
      <c r="I20" s="761"/>
      <c r="J20" s="526"/>
      <c r="K20" s="526"/>
      <c r="L20" s="526"/>
      <c r="M20" s="210"/>
      <c r="N20" s="762"/>
      <c r="O20" s="356"/>
    </row>
    <row r="21" spans="1:15" ht="15.75">
      <c r="A21" s="135"/>
      <c r="B21" s="136" t="s">
        <v>138</v>
      </c>
      <c r="C21" s="137" t="s">
        <v>23</v>
      </c>
      <c r="D21" s="162">
        <v>79.1</v>
      </c>
      <c r="E21" s="162">
        <v>82.1</v>
      </c>
      <c r="F21" s="763">
        <v>83</v>
      </c>
      <c r="G21" s="162">
        <v>81.6</v>
      </c>
      <c r="H21" s="764">
        <v>82.3</v>
      </c>
      <c r="I21" s="764">
        <v>82.3</v>
      </c>
      <c r="J21" s="526">
        <f t="shared" si="0"/>
        <v>101.71568627450982</v>
      </c>
      <c r="K21" s="526">
        <f t="shared" si="1"/>
        <v>100.8505467800729</v>
      </c>
      <c r="L21" s="526">
        <f t="shared" si="2"/>
        <v>100.8505467800729</v>
      </c>
      <c r="M21" s="166"/>
      <c r="N21" s="765">
        <v>82.3</v>
      </c>
      <c r="O21" s="357">
        <v>81.2</v>
      </c>
    </row>
    <row r="22" spans="1:15" ht="15.75">
      <c r="A22" s="135"/>
      <c r="B22" s="136" t="s">
        <v>139</v>
      </c>
      <c r="C22" s="137" t="s">
        <v>23</v>
      </c>
      <c r="D22" s="162">
        <v>47.8</v>
      </c>
      <c r="E22" s="162">
        <v>47</v>
      </c>
      <c r="F22" s="763">
        <v>48.1</v>
      </c>
      <c r="G22" s="162">
        <v>47.47123360984747</v>
      </c>
      <c r="H22" s="764">
        <v>47.5</v>
      </c>
      <c r="I22" s="764">
        <v>47.5</v>
      </c>
      <c r="J22" s="526">
        <f t="shared" si="0"/>
        <v>101.32452085682075</v>
      </c>
      <c r="K22" s="526">
        <f t="shared" si="1"/>
        <v>101.26315789473685</v>
      </c>
      <c r="L22" s="526">
        <f t="shared" si="2"/>
        <v>101.26315789473685</v>
      </c>
      <c r="M22" s="166"/>
      <c r="N22" s="765">
        <v>47.5</v>
      </c>
      <c r="O22" s="357">
        <v>48.1</v>
      </c>
    </row>
    <row r="23" spans="1:16" ht="15.75">
      <c r="A23" s="135"/>
      <c r="B23" s="136" t="s">
        <v>140</v>
      </c>
      <c r="C23" s="137" t="s">
        <v>23</v>
      </c>
      <c r="D23" s="162">
        <v>2.8</v>
      </c>
      <c r="E23" s="162">
        <v>2.3</v>
      </c>
      <c r="F23" s="763">
        <v>2.2</v>
      </c>
      <c r="G23" s="162">
        <v>2.2</v>
      </c>
      <c r="H23" s="764">
        <v>2.8</v>
      </c>
      <c r="I23" s="764">
        <v>2.8</v>
      </c>
      <c r="J23" s="526">
        <f t="shared" si="0"/>
        <v>100</v>
      </c>
      <c r="K23" s="526">
        <f t="shared" si="1"/>
        <v>78.57142857142858</v>
      </c>
      <c r="L23" s="526">
        <f t="shared" si="2"/>
        <v>78.57142857142858</v>
      </c>
      <c r="M23" s="166"/>
      <c r="N23" s="765">
        <v>2.8</v>
      </c>
      <c r="O23" s="357">
        <v>2.9</v>
      </c>
      <c r="P23" s="358"/>
    </row>
    <row r="24" spans="1:16" ht="15.75">
      <c r="A24" s="135"/>
      <c r="B24" s="136" t="s">
        <v>141</v>
      </c>
      <c r="C24" s="137" t="s">
        <v>23</v>
      </c>
      <c r="D24" s="162">
        <v>3.4</v>
      </c>
      <c r="E24" s="162">
        <v>2.7</v>
      </c>
      <c r="F24" s="763">
        <v>2.6</v>
      </c>
      <c r="G24" s="162">
        <v>2.7</v>
      </c>
      <c r="H24" s="764">
        <v>3.4</v>
      </c>
      <c r="I24" s="764">
        <v>3.4</v>
      </c>
      <c r="J24" s="526">
        <f t="shared" si="0"/>
        <v>96.29629629629629</v>
      </c>
      <c r="K24" s="526">
        <f t="shared" si="1"/>
        <v>76.47058823529413</v>
      </c>
      <c r="L24" s="526">
        <f t="shared" si="2"/>
        <v>76.47058823529413</v>
      </c>
      <c r="M24" s="166"/>
      <c r="N24" s="765">
        <v>3.4</v>
      </c>
      <c r="O24" s="357">
        <v>3.5</v>
      </c>
      <c r="P24" s="359"/>
    </row>
    <row r="25" spans="1:15" ht="15.75">
      <c r="A25" s="135"/>
      <c r="B25" s="136" t="s">
        <v>142</v>
      </c>
      <c r="C25" s="144"/>
      <c r="D25" s="122"/>
      <c r="E25" s="122"/>
      <c r="F25" s="766"/>
      <c r="G25" s="122"/>
      <c r="H25" s="767"/>
      <c r="I25" s="767"/>
      <c r="J25" s="526"/>
      <c r="K25" s="526"/>
      <c r="L25" s="526"/>
      <c r="M25" s="116"/>
      <c r="N25" s="768"/>
      <c r="O25" s="360"/>
    </row>
    <row r="26" spans="1:16" ht="15.75">
      <c r="A26" s="135"/>
      <c r="B26" s="145" t="s">
        <v>143</v>
      </c>
      <c r="C26" s="137" t="s">
        <v>23</v>
      </c>
      <c r="D26" s="163">
        <v>53</v>
      </c>
      <c r="E26" s="163">
        <v>53.8</v>
      </c>
      <c r="F26" s="769">
        <v>56.7</v>
      </c>
      <c r="G26" s="163">
        <v>54.1</v>
      </c>
      <c r="H26" s="764">
        <v>55</v>
      </c>
      <c r="I26" s="764">
        <v>55</v>
      </c>
      <c r="J26" s="526">
        <f t="shared" si="0"/>
        <v>104.80591497227356</v>
      </c>
      <c r="K26" s="526">
        <f t="shared" si="1"/>
        <v>103.0909090909091</v>
      </c>
      <c r="L26" s="526">
        <f t="shared" si="2"/>
        <v>103.0909090909091</v>
      </c>
      <c r="M26" s="166"/>
      <c r="N26" s="770">
        <v>55</v>
      </c>
      <c r="O26" s="361">
        <v>53.3</v>
      </c>
      <c r="P26" s="362"/>
    </row>
    <row r="27" spans="1:15" ht="15.75">
      <c r="A27" s="135"/>
      <c r="B27" s="145" t="s">
        <v>144</v>
      </c>
      <c r="C27" s="137" t="s">
        <v>23</v>
      </c>
      <c r="D27" s="163">
        <v>99.9</v>
      </c>
      <c r="E27" s="163">
        <v>99.9</v>
      </c>
      <c r="F27" s="769">
        <v>99.9</v>
      </c>
      <c r="G27" s="163">
        <v>99.9</v>
      </c>
      <c r="H27" s="771">
        <v>99.9</v>
      </c>
      <c r="I27" s="771">
        <v>99.9</v>
      </c>
      <c r="J27" s="526">
        <f t="shared" si="0"/>
        <v>100</v>
      </c>
      <c r="K27" s="526">
        <f t="shared" si="1"/>
        <v>100</v>
      </c>
      <c r="L27" s="526">
        <f t="shared" si="2"/>
        <v>100</v>
      </c>
      <c r="M27" s="211"/>
      <c r="N27" s="765">
        <v>99.9</v>
      </c>
      <c r="O27" s="357"/>
    </row>
    <row r="28" spans="1:15" ht="15.75">
      <c r="A28" s="135"/>
      <c r="B28" s="145" t="s">
        <v>145</v>
      </c>
      <c r="C28" s="137" t="s">
        <v>23</v>
      </c>
      <c r="D28" s="163">
        <v>99.9</v>
      </c>
      <c r="E28" s="163">
        <v>99.9</v>
      </c>
      <c r="F28" s="769">
        <v>99.9</v>
      </c>
      <c r="G28" s="163">
        <v>99.9</v>
      </c>
      <c r="H28" s="771">
        <v>99.9</v>
      </c>
      <c r="I28" s="771">
        <v>99.9</v>
      </c>
      <c r="J28" s="526">
        <f t="shared" si="0"/>
        <v>100</v>
      </c>
      <c r="K28" s="526">
        <f t="shared" si="1"/>
        <v>100</v>
      </c>
      <c r="L28" s="526">
        <f t="shared" si="2"/>
        <v>100</v>
      </c>
      <c r="M28" s="211"/>
      <c r="N28" s="765">
        <v>99.9</v>
      </c>
      <c r="O28" s="357">
        <v>99.9</v>
      </c>
    </row>
    <row r="29" spans="1:15" ht="30">
      <c r="A29" s="135"/>
      <c r="B29" s="136" t="s">
        <v>146</v>
      </c>
      <c r="C29" s="137" t="s">
        <v>23</v>
      </c>
      <c r="D29" s="157">
        <v>100</v>
      </c>
      <c r="E29" s="157">
        <v>100</v>
      </c>
      <c r="F29" s="752">
        <v>100</v>
      </c>
      <c r="G29" s="157">
        <v>100</v>
      </c>
      <c r="H29" s="759"/>
      <c r="I29" s="759">
        <v>100</v>
      </c>
      <c r="J29" s="526">
        <f t="shared" si="0"/>
        <v>100</v>
      </c>
      <c r="K29" s="526"/>
      <c r="L29" s="526">
        <f t="shared" si="2"/>
        <v>100</v>
      </c>
      <c r="M29" s="158"/>
      <c r="N29" s="772">
        <v>100</v>
      </c>
      <c r="O29" s="357">
        <v>99.9</v>
      </c>
    </row>
    <row r="30" spans="1:15" ht="15.75">
      <c r="A30" s="127">
        <v>2</v>
      </c>
      <c r="B30" s="146" t="s">
        <v>147</v>
      </c>
      <c r="C30" s="129"/>
      <c r="D30" s="161"/>
      <c r="E30" s="161"/>
      <c r="F30" s="773"/>
      <c r="G30" s="161"/>
      <c r="H30" s="774"/>
      <c r="I30" s="774"/>
      <c r="J30" s="526"/>
      <c r="K30" s="526"/>
      <c r="L30" s="526"/>
      <c r="M30" s="130"/>
      <c r="N30" s="762"/>
      <c r="O30" s="356"/>
    </row>
    <row r="31" spans="1:17" s="480" customFormat="1" ht="15.75">
      <c r="A31" s="594"/>
      <c r="B31" s="595" t="s">
        <v>148</v>
      </c>
      <c r="C31" s="596" t="s">
        <v>123</v>
      </c>
      <c r="D31" s="613">
        <f aca="true" t="shared" si="3" ref="D31:I31">D39+D51+D64</f>
        <v>20158</v>
      </c>
      <c r="E31" s="613">
        <f t="shared" si="3"/>
        <v>20318</v>
      </c>
      <c r="F31" s="775">
        <f t="shared" si="3"/>
        <v>20187</v>
      </c>
      <c r="G31" s="613">
        <f t="shared" si="3"/>
        <v>19996</v>
      </c>
      <c r="H31" s="749">
        <f t="shared" si="3"/>
        <v>20226</v>
      </c>
      <c r="I31" s="749">
        <f t="shared" si="3"/>
        <v>20232</v>
      </c>
      <c r="J31" s="607">
        <f t="shared" si="0"/>
        <v>100.95519103820764</v>
      </c>
      <c r="K31" s="607">
        <f t="shared" si="1"/>
        <v>99.80717887867102</v>
      </c>
      <c r="L31" s="607">
        <f t="shared" si="2"/>
        <v>99.77758007117437</v>
      </c>
      <c r="M31" s="597"/>
      <c r="N31" s="776">
        <v>20232</v>
      </c>
      <c r="O31" s="614">
        <v>20440</v>
      </c>
      <c r="P31" s="601"/>
      <c r="Q31" s="601"/>
    </row>
    <row r="32" spans="1:15" ht="15.75">
      <c r="A32" s="135"/>
      <c r="B32" s="147" t="s">
        <v>149</v>
      </c>
      <c r="C32" s="137" t="s">
        <v>150</v>
      </c>
      <c r="D32" s="157">
        <f aca="true" t="shared" si="4" ref="D32:G33">D40+D52+D66</f>
        <v>3289</v>
      </c>
      <c r="E32" s="157">
        <f t="shared" si="4"/>
        <v>3390</v>
      </c>
      <c r="F32" s="752">
        <f t="shared" si="4"/>
        <v>3327</v>
      </c>
      <c r="G32" s="157">
        <f t="shared" si="4"/>
        <v>3137</v>
      </c>
      <c r="H32" s="777">
        <v>2878</v>
      </c>
      <c r="I32" s="777">
        <f>I40+I52+I66</f>
        <v>3258</v>
      </c>
      <c r="J32" s="526">
        <f t="shared" si="0"/>
        <v>106.05674211029645</v>
      </c>
      <c r="K32" s="526">
        <f t="shared" si="1"/>
        <v>115.60111188325226</v>
      </c>
      <c r="L32" s="526">
        <f t="shared" si="2"/>
        <v>102.11786372007366</v>
      </c>
      <c r="M32" s="139"/>
      <c r="N32" s="778">
        <v>3258</v>
      </c>
      <c r="O32" s="363">
        <v>3425</v>
      </c>
    </row>
    <row r="33" spans="1:17" s="480" customFormat="1" ht="15.75">
      <c r="A33" s="594"/>
      <c r="B33" s="595" t="s">
        <v>151</v>
      </c>
      <c r="C33" s="596" t="s">
        <v>152</v>
      </c>
      <c r="D33" s="613">
        <f t="shared" si="4"/>
        <v>673</v>
      </c>
      <c r="E33" s="613">
        <f t="shared" si="4"/>
        <v>669</v>
      </c>
      <c r="F33" s="775">
        <f t="shared" si="4"/>
        <v>670</v>
      </c>
      <c r="G33" s="613">
        <f t="shared" si="4"/>
        <v>673</v>
      </c>
      <c r="H33" s="749">
        <f>H41+H53+H67</f>
        <v>678</v>
      </c>
      <c r="I33" s="749">
        <f>I41+I53+I67</f>
        <v>678</v>
      </c>
      <c r="J33" s="607">
        <f t="shared" si="0"/>
        <v>99.55423476968797</v>
      </c>
      <c r="K33" s="607">
        <f t="shared" si="1"/>
        <v>98.82005899705014</v>
      </c>
      <c r="L33" s="607">
        <f t="shared" si="2"/>
        <v>98.82005899705014</v>
      </c>
      <c r="M33" s="597"/>
      <c r="N33" s="776">
        <v>678</v>
      </c>
      <c r="O33" s="614">
        <v>677</v>
      </c>
      <c r="P33" s="601"/>
      <c r="Q33" s="601"/>
    </row>
    <row r="34" spans="1:15" ht="15.75">
      <c r="A34" s="141"/>
      <c r="B34" s="142" t="s">
        <v>153</v>
      </c>
      <c r="C34" s="143"/>
      <c r="D34" s="157"/>
      <c r="E34" s="157"/>
      <c r="F34" s="752"/>
      <c r="G34" s="157"/>
      <c r="H34" s="774"/>
      <c r="I34" s="774"/>
      <c r="J34" s="526"/>
      <c r="K34" s="526"/>
      <c r="L34" s="526"/>
      <c r="M34" s="130"/>
      <c r="N34" s="747"/>
      <c r="O34" s="353"/>
    </row>
    <row r="35" spans="1:15" ht="15.75">
      <c r="A35" s="135"/>
      <c r="B35" s="148" t="s">
        <v>154</v>
      </c>
      <c r="C35" s="137" t="s">
        <v>23</v>
      </c>
      <c r="D35" s="163">
        <v>47</v>
      </c>
      <c r="E35" s="163">
        <v>47</v>
      </c>
      <c r="F35" s="769">
        <v>47</v>
      </c>
      <c r="G35" s="163">
        <v>47</v>
      </c>
      <c r="H35" s="769">
        <v>46.4</v>
      </c>
      <c r="I35" s="769">
        <v>47</v>
      </c>
      <c r="J35" s="526">
        <f t="shared" si="0"/>
        <v>100</v>
      </c>
      <c r="K35" s="526">
        <f t="shared" si="1"/>
        <v>101.29310344827587</v>
      </c>
      <c r="L35" s="526">
        <f t="shared" si="2"/>
        <v>100</v>
      </c>
      <c r="M35" s="163"/>
      <c r="N35" s="768">
        <v>47</v>
      </c>
      <c r="O35" s="360">
        <v>47.01</v>
      </c>
    </row>
    <row r="36" spans="1:15" ht="15.75">
      <c r="A36" s="135"/>
      <c r="B36" s="148" t="s">
        <v>155</v>
      </c>
      <c r="C36" s="137" t="s">
        <v>23</v>
      </c>
      <c r="D36" s="163">
        <v>86.9</v>
      </c>
      <c r="E36" s="163">
        <v>95</v>
      </c>
      <c r="F36" s="769">
        <v>95</v>
      </c>
      <c r="G36" s="163">
        <v>86.8</v>
      </c>
      <c r="H36" s="769">
        <v>95.9</v>
      </c>
      <c r="I36" s="769">
        <v>95.9</v>
      </c>
      <c r="J36" s="526">
        <f t="shared" si="0"/>
        <v>109.44700460829493</v>
      </c>
      <c r="K36" s="526">
        <f t="shared" si="1"/>
        <v>99.06152241918664</v>
      </c>
      <c r="L36" s="526">
        <f t="shared" si="2"/>
        <v>99.06152241918664</v>
      </c>
      <c r="M36" s="163"/>
      <c r="N36" s="768">
        <v>95.9</v>
      </c>
      <c r="O36" s="360">
        <v>96.6</v>
      </c>
    </row>
    <row r="37" spans="1:15" ht="15.75">
      <c r="A37" s="135"/>
      <c r="B37" s="148" t="s">
        <v>156</v>
      </c>
      <c r="C37" s="137" t="s">
        <v>23</v>
      </c>
      <c r="D37" s="163">
        <v>0.5</v>
      </c>
      <c r="E37" s="163">
        <v>0.2</v>
      </c>
      <c r="F37" s="769">
        <v>0.2</v>
      </c>
      <c r="G37" s="163">
        <v>0.3</v>
      </c>
      <c r="H37" s="779">
        <v>0.23</v>
      </c>
      <c r="I37" s="769">
        <v>0.2</v>
      </c>
      <c r="J37" s="526">
        <f t="shared" si="0"/>
        <v>66.66666666666667</v>
      </c>
      <c r="K37" s="526">
        <f t="shared" si="1"/>
        <v>86.95652173913044</v>
      </c>
      <c r="L37" s="526">
        <f t="shared" si="2"/>
        <v>100</v>
      </c>
      <c r="M37" s="163"/>
      <c r="N37" s="780">
        <v>0.2</v>
      </c>
      <c r="O37" s="364">
        <v>0.261</v>
      </c>
    </row>
    <row r="38" spans="1:15" ht="15.75">
      <c r="A38" s="135"/>
      <c r="B38" s="148" t="s">
        <v>157</v>
      </c>
      <c r="C38" s="137" t="s">
        <v>23</v>
      </c>
      <c r="D38" s="163">
        <v>0.8</v>
      </c>
      <c r="E38" s="164">
        <v>0.95</v>
      </c>
      <c r="F38" s="781">
        <v>0.69</v>
      </c>
      <c r="G38" s="163"/>
      <c r="H38" s="779">
        <v>0.69</v>
      </c>
      <c r="I38" s="779">
        <v>0.69</v>
      </c>
      <c r="J38" s="526"/>
      <c r="K38" s="526">
        <f t="shared" si="1"/>
        <v>100</v>
      </c>
      <c r="L38" s="526">
        <f t="shared" si="2"/>
        <v>100</v>
      </c>
      <c r="M38" s="164"/>
      <c r="N38" s="768">
        <v>0.69</v>
      </c>
      <c r="O38" s="360">
        <v>0.944</v>
      </c>
    </row>
    <row r="39" spans="1:17" s="480" customFormat="1" ht="15.75">
      <c r="A39" s="594" t="s">
        <v>158</v>
      </c>
      <c r="B39" s="595" t="s">
        <v>159</v>
      </c>
      <c r="C39" s="596" t="s">
        <v>123</v>
      </c>
      <c r="D39" s="613">
        <v>10003</v>
      </c>
      <c r="E39" s="617">
        <v>9759</v>
      </c>
      <c r="F39" s="782">
        <v>9741</v>
      </c>
      <c r="G39" s="613">
        <v>9989</v>
      </c>
      <c r="H39" s="783">
        <v>9500</v>
      </c>
      <c r="I39" s="783">
        <v>9500</v>
      </c>
      <c r="J39" s="607">
        <f t="shared" si="0"/>
        <v>97.51726899589549</v>
      </c>
      <c r="K39" s="607">
        <f t="shared" si="1"/>
        <v>102.53684210526315</v>
      </c>
      <c r="L39" s="607">
        <f t="shared" si="2"/>
        <v>102.53684210526315</v>
      </c>
      <c r="M39" s="618"/>
      <c r="N39" s="758">
        <v>9500</v>
      </c>
      <c r="O39" s="611">
        <v>9980</v>
      </c>
      <c r="P39" s="601"/>
      <c r="Q39" s="601"/>
    </row>
    <row r="40" spans="1:15" ht="15.75">
      <c r="A40" s="135"/>
      <c r="B40" s="140" t="s">
        <v>160</v>
      </c>
      <c r="C40" s="137" t="s">
        <v>150</v>
      </c>
      <c r="D40" s="157">
        <f>1328-45</f>
        <v>1283</v>
      </c>
      <c r="E40" s="202">
        <v>1260</v>
      </c>
      <c r="F40" s="784">
        <v>1303</v>
      </c>
      <c r="G40" s="157">
        <v>1313</v>
      </c>
      <c r="H40" s="785">
        <v>1269</v>
      </c>
      <c r="I40" s="785">
        <v>1269</v>
      </c>
      <c r="J40" s="526">
        <f t="shared" si="0"/>
        <v>99.23838537699923</v>
      </c>
      <c r="K40" s="526">
        <f t="shared" si="1"/>
        <v>102.67927501970055</v>
      </c>
      <c r="L40" s="526">
        <f t="shared" si="2"/>
        <v>102.67927501970055</v>
      </c>
      <c r="M40" s="212"/>
      <c r="N40" s="786">
        <v>1269</v>
      </c>
      <c r="O40" s="365">
        <v>1275</v>
      </c>
    </row>
    <row r="41" spans="1:15" ht="15.75">
      <c r="A41" s="135"/>
      <c r="B41" s="140" t="s">
        <v>151</v>
      </c>
      <c r="C41" s="137" t="s">
        <v>152</v>
      </c>
      <c r="D41" s="157">
        <v>389</v>
      </c>
      <c r="E41" s="202">
        <v>377</v>
      </c>
      <c r="F41" s="787">
        <v>377</v>
      </c>
      <c r="G41" s="157">
        <v>389</v>
      </c>
      <c r="H41" s="785">
        <v>380</v>
      </c>
      <c r="I41" s="785">
        <v>380</v>
      </c>
      <c r="J41" s="526">
        <f t="shared" si="0"/>
        <v>96.91516709511568</v>
      </c>
      <c r="K41" s="526">
        <f t="shared" si="1"/>
        <v>99.21052631578947</v>
      </c>
      <c r="L41" s="526">
        <f t="shared" si="2"/>
        <v>99.21052631578947</v>
      </c>
      <c r="M41" s="212"/>
      <c r="N41" s="754">
        <v>380</v>
      </c>
      <c r="O41" s="355">
        <v>389</v>
      </c>
    </row>
    <row r="42" spans="1:15" ht="15.75">
      <c r="A42" s="135"/>
      <c r="B42" s="136" t="s">
        <v>161</v>
      </c>
      <c r="C42" s="137" t="s">
        <v>23</v>
      </c>
      <c r="D42" s="163">
        <v>99.9</v>
      </c>
      <c r="E42" s="203">
        <v>99.9</v>
      </c>
      <c r="F42" s="787">
        <v>99.9</v>
      </c>
      <c r="G42" s="163">
        <v>99.9</v>
      </c>
      <c r="H42" s="787">
        <v>99.9</v>
      </c>
      <c r="I42" s="787">
        <v>99.9</v>
      </c>
      <c r="J42" s="526">
        <f t="shared" si="0"/>
        <v>100</v>
      </c>
      <c r="K42" s="526">
        <f t="shared" si="1"/>
        <v>100</v>
      </c>
      <c r="L42" s="526">
        <f t="shared" si="2"/>
        <v>100</v>
      </c>
      <c r="M42" s="203"/>
      <c r="N42" s="788">
        <v>99.9</v>
      </c>
      <c r="O42" s="366">
        <v>99.9</v>
      </c>
    </row>
    <row r="43" spans="1:15" ht="15.75">
      <c r="A43" s="135"/>
      <c r="B43" s="136" t="s">
        <v>162</v>
      </c>
      <c r="C43" s="137" t="s">
        <v>23</v>
      </c>
      <c r="D43" s="163">
        <v>99.9</v>
      </c>
      <c r="E43" s="203">
        <v>99.9</v>
      </c>
      <c r="F43" s="787">
        <v>99.8</v>
      </c>
      <c r="G43" s="163">
        <v>99.9</v>
      </c>
      <c r="H43" s="787">
        <v>99.8</v>
      </c>
      <c r="I43" s="787">
        <v>99.8</v>
      </c>
      <c r="J43" s="526">
        <f t="shared" si="0"/>
        <v>99.89989989989989</v>
      </c>
      <c r="K43" s="526">
        <f t="shared" si="1"/>
        <v>100</v>
      </c>
      <c r="L43" s="526">
        <f t="shared" si="2"/>
        <v>100</v>
      </c>
      <c r="M43" s="203"/>
      <c r="N43" s="788">
        <v>99.8</v>
      </c>
      <c r="O43" s="366">
        <v>99.8</v>
      </c>
    </row>
    <row r="44" spans="1:15" ht="15.75">
      <c r="A44" s="135"/>
      <c r="B44" s="136" t="s">
        <v>575</v>
      </c>
      <c r="C44" s="137" t="s">
        <v>23</v>
      </c>
      <c r="D44" s="163">
        <v>100.5</v>
      </c>
      <c r="E44" s="204">
        <v>100.6</v>
      </c>
      <c r="F44" s="789">
        <v>100.6</v>
      </c>
      <c r="G44" s="163">
        <v>100.5</v>
      </c>
      <c r="H44" s="789"/>
      <c r="I44" s="789">
        <v>100.6</v>
      </c>
      <c r="J44" s="526">
        <f t="shared" si="0"/>
        <v>100.09950248756219</v>
      </c>
      <c r="K44" s="526"/>
      <c r="L44" s="526">
        <f t="shared" si="2"/>
        <v>100</v>
      </c>
      <c r="M44" s="204"/>
      <c r="N44" s="788">
        <v>100.6</v>
      </c>
      <c r="O44" s="366"/>
    </row>
    <row r="45" spans="1:15" ht="15.75">
      <c r="A45" s="135"/>
      <c r="B45" s="136" t="s">
        <v>576</v>
      </c>
      <c r="C45" s="137" t="s">
        <v>23</v>
      </c>
      <c r="D45" s="163">
        <v>0</v>
      </c>
      <c r="E45" s="205">
        <v>0.2</v>
      </c>
      <c r="F45" s="790">
        <v>0</v>
      </c>
      <c r="G45" s="163">
        <v>0</v>
      </c>
      <c r="H45" s="790"/>
      <c r="I45" s="790">
        <v>0.2</v>
      </c>
      <c r="J45" s="526"/>
      <c r="K45" s="526"/>
      <c r="L45" s="526">
        <f t="shared" si="2"/>
        <v>0</v>
      </c>
      <c r="M45" s="205"/>
      <c r="N45" s="788">
        <v>0.2</v>
      </c>
      <c r="O45" s="366"/>
    </row>
    <row r="46" spans="1:15" ht="15.75">
      <c r="A46" s="135"/>
      <c r="B46" s="136" t="s">
        <v>163</v>
      </c>
      <c r="C46" s="137" t="s">
        <v>23</v>
      </c>
      <c r="D46" s="163">
        <v>48.5</v>
      </c>
      <c r="E46" s="203">
        <v>47.6</v>
      </c>
      <c r="F46" s="787">
        <v>46.6</v>
      </c>
      <c r="G46" s="163">
        <v>48.5</v>
      </c>
      <c r="H46" s="787">
        <v>46.6</v>
      </c>
      <c r="I46" s="787">
        <v>46.6</v>
      </c>
      <c r="J46" s="526">
        <f t="shared" si="0"/>
        <v>96.08247422680412</v>
      </c>
      <c r="K46" s="526">
        <f t="shared" si="1"/>
        <v>100</v>
      </c>
      <c r="L46" s="526">
        <f t="shared" si="2"/>
        <v>100</v>
      </c>
      <c r="M46" s="203"/>
      <c r="N46" s="788">
        <v>46.6</v>
      </c>
      <c r="O46" s="366">
        <v>47.6</v>
      </c>
    </row>
    <row r="47" spans="1:16" ht="15.75">
      <c r="A47" s="135"/>
      <c r="B47" s="136" t="s">
        <v>164</v>
      </c>
      <c r="C47" s="137" t="s">
        <v>23</v>
      </c>
      <c r="D47" s="164">
        <v>0.02</v>
      </c>
      <c r="E47" s="206">
        <v>0.02</v>
      </c>
      <c r="F47" s="791">
        <v>0.02</v>
      </c>
      <c r="G47" s="164">
        <v>0</v>
      </c>
      <c r="H47" s="791">
        <v>0.02</v>
      </c>
      <c r="I47" s="791">
        <v>0.02</v>
      </c>
      <c r="J47" s="526"/>
      <c r="K47" s="526">
        <f t="shared" si="1"/>
        <v>100</v>
      </c>
      <c r="L47" s="526">
        <f t="shared" si="2"/>
        <v>100</v>
      </c>
      <c r="M47" s="206"/>
      <c r="N47" s="786">
        <v>0.02</v>
      </c>
      <c r="O47" s="365">
        <v>0.02</v>
      </c>
      <c r="P47" s="367"/>
    </row>
    <row r="48" spans="1:15" ht="15.75">
      <c r="A48" s="135"/>
      <c r="B48" s="136" t="s">
        <v>165</v>
      </c>
      <c r="C48" s="137" t="s">
        <v>23</v>
      </c>
      <c r="D48" s="87">
        <v>0.8</v>
      </c>
      <c r="E48" s="204">
        <v>0.8</v>
      </c>
      <c r="F48" s="789">
        <v>0.8</v>
      </c>
      <c r="G48" s="427">
        <v>0.8</v>
      </c>
      <c r="H48" s="789">
        <v>0.8</v>
      </c>
      <c r="I48" s="789">
        <v>0.8</v>
      </c>
      <c r="J48" s="526">
        <f t="shared" si="0"/>
        <v>100</v>
      </c>
      <c r="K48" s="526">
        <f t="shared" si="1"/>
        <v>100</v>
      </c>
      <c r="L48" s="526">
        <f t="shared" si="2"/>
        <v>100</v>
      </c>
      <c r="M48" s="204"/>
      <c r="N48" s="786">
        <v>0.8</v>
      </c>
      <c r="O48" s="365">
        <v>0.8</v>
      </c>
    </row>
    <row r="49" spans="1:15" ht="30">
      <c r="A49" s="135"/>
      <c r="B49" s="136" t="s">
        <v>166</v>
      </c>
      <c r="C49" s="137" t="s">
        <v>23</v>
      </c>
      <c r="D49" s="87">
        <v>99.8</v>
      </c>
      <c r="E49" s="207">
        <v>99.8</v>
      </c>
      <c r="F49" s="792">
        <v>99.8</v>
      </c>
      <c r="G49" s="87">
        <v>99.8</v>
      </c>
      <c r="H49" s="792"/>
      <c r="I49" s="792">
        <v>99.8</v>
      </c>
      <c r="J49" s="526">
        <f t="shared" si="0"/>
        <v>100</v>
      </c>
      <c r="K49" s="526"/>
      <c r="L49" s="526">
        <f t="shared" si="2"/>
        <v>100</v>
      </c>
      <c r="M49" s="207"/>
      <c r="N49" s="788">
        <v>99.8</v>
      </c>
      <c r="O49" s="366"/>
    </row>
    <row r="50" spans="1:15" ht="15.75">
      <c r="A50" s="135"/>
      <c r="B50" s="136" t="s">
        <v>167</v>
      </c>
      <c r="C50" s="137" t="s">
        <v>23</v>
      </c>
      <c r="D50" s="163">
        <v>97</v>
      </c>
      <c r="E50" s="207">
        <v>97.5</v>
      </c>
      <c r="F50" s="792">
        <v>97.5</v>
      </c>
      <c r="G50" s="163">
        <v>97</v>
      </c>
      <c r="H50" s="792"/>
      <c r="I50" s="792">
        <v>97.5</v>
      </c>
      <c r="J50" s="526">
        <f t="shared" si="0"/>
        <v>100.51546391752578</v>
      </c>
      <c r="K50" s="526"/>
      <c r="L50" s="526">
        <f t="shared" si="2"/>
        <v>100</v>
      </c>
      <c r="M50" s="207"/>
      <c r="N50" s="788">
        <v>97.5</v>
      </c>
      <c r="O50" s="366"/>
    </row>
    <row r="51" spans="1:17" s="480" customFormat="1" ht="15.75">
      <c r="A51" s="594" t="s">
        <v>168</v>
      </c>
      <c r="B51" s="595" t="s">
        <v>169</v>
      </c>
      <c r="C51" s="596" t="s">
        <v>123</v>
      </c>
      <c r="D51" s="613">
        <v>6745</v>
      </c>
      <c r="E51" s="613">
        <v>7155</v>
      </c>
      <c r="F51" s="775">
        <v>7124</v>
      </c>
      <c r="G51" s="613">
        <v>6701</v>
      </c>
      <c r="H51" s="749">
        <v>7273</v>
      </c>
      <c r="I51" s="749">
        <v>7273</v>
      </c>
      <c r="J51" s="607">
        <f t="shared" si="0"/>
        <v>106.31249067303388</v>
      </c>
      <c r="K51" s="607">
        <f t="shared" si="1"/>
        <v>97.95132682524405</v>
      </c>
      <c r="L51" s="607">
        <f t="shared" si="2"/>
        <v>97.95132682524405</v>
      </c>
      <c r="M51" s="597"/>
      <c r="N51" s="749">
        <v>7273</v>
      </c>
      <c r="O51" s="614">
        <v>7080</v>
      </c>
      <c r="P51" s="601"/>
      <c r="Q51" s="601"/>
    </row>
    <row r="52" spans="1:15" ht="15.75">
      <c r="A52" s="135"/>
      <c r="B52" s="140" t="s">
        <v>160</v>
      </c>
      <c r="C52" s="137" t="s">
        <v>150</v>
      </c>
      <c r="D52" s="157">
        <v>1384</v>
      </c>
      <c r="E52" s="157">
        <v>1445</v>
      </c>
      <c r="F52" s="752">
        <v>1430</v>
      </c>
      <c r="G52" s="157">
        <v>1332</v>
      </c>
      <c r="H52" s="777">
        <v>1259</v>
      </c>
      <c r="I52" s="777">
        <v>1259</v>
      </c>
      <c r="J52" s="526">
        <f t="shared" si="0"/>
        <v>107.35735735735736</v>
      </c>
      <c r="K52" s="526">
        <f t="shared" si="1"/>
        <v>113.58220810166799</v>
      </c>
      <c r="L52" s="526">
        <f t="shared" si="2"/>
        <v>113.58220810166799</v>
      </c>
      <c r="M52" s="139"/>
      <c r="N52" s="777">
        <v>1259</v>
      </c>
      <c r="O52" s="363">
        <v>1450</v>
      </c>
    </row>
    <row r="53" spans="1:15" ht="15.75">
      <c r="A53" s="135"/>
      <c r="B53" s="140" t="s">
        <v>151</v>
      </c>
      <c r="C53" s="137" t="s">
        <v>152</v>
      </c>
      <c r="D53" s="157">
        <v>197</v>
      </c>
      <c r="E53" s="157">
        <v>205</v>
      </c>
      <c r="F53" s="752">
        <v>205</v>
      </c>
      <c r="G53" s="157">
        <v>197</v>
      </c>
      <c r="H53" s="777">
        <v>209</v>
      </c>
      <c r="I53" s="777">
        <v>209</v>
      </c>
      <c r="J53" s="526">
        <f t="shared" si="0"/>
        <v>104.06091370558374</v>
      </c>
      <c r="K53" s="526">
        <f t="shared" si="1"/>
        <v>98.08612440191388</v>
      </c>
      <c r="L53" s="526">
        <f t="shared" si="2"/>
        <v>98.08612440191388</v>
      </c>
      <c r="M53" s="139"/>
      <c r="N53" s="777">
        <v>209</v>
      </c>
      <c r="O53" s="363">
        <v>201</v>
      </c>
    </row>
    <row r="54" spans="1:15" ht="15.75">
      <c r="A54" s="135"/>
      <c r="B54" s="136" t="s">
        <v>170</v>
      </c>
      <c r="C54" s="137" t="s">
        <v>23</v>
      </c>
      <c r="D54" s="163">
        <v>99.8</v>
      </c>
      <c r="E54" s="163">
        <v>99.8</v>
      </c>
      <c r="F54" s="769">
        <v>99.8</v>
      </c>
      <c r="G54" s="163">
        <v>99.8</v>
      </c>
      <c r="H54" s="793"/>
      <c r="I54" s="793">
        <v>99.8</v>
      </c>
      <c r="J54" s="526">
        <f t="shared" si="0"/>
        <v>100</v>
      </c>
      <c r="K54" s="526"/>
      <c r="L54" s="526">
        <f t="shared" si="2"/>
        <v>100</v>
      </c>
      <c r="M54" s="213"/>
      <c r="N54" s="793">
        <v>99.8</v>
      </c>
      <c r="O54" s="360">
        <v>98.4</v>
      </c>
    </row>
    <row r="55" spans="1:15" ht="15.75">
      <c r="A55" s="135"/>
      <c r="B55" s="136" t="s">
        <v>171</v>
      </c>
      <c r="C55" s="137" t="s">
        <v>23</v>
      </c>
      <c r="D55" s="163">
        <v>98.4</v>
      </c>
      <c r="E55" s="163">
        <v>98.5</v>
      </c>
      <c r="F55" s="769">
        <v>98.5</v>
      </c>
      <c r="G55" s="163">
        <v>98.4</v>
      </c>
      <c r="H55" s="793">
        <v>98.5</v>
      </c>
      <c r="I55" s="793">
        <v>98.5</v>
      </c>
      <c r="J55" s="526">
        <f t="shared" si="0"/>
        <v>100.10162601626016</v>
      </c>
      <c r="K55" s="526">
        <f t="shared" si="1"/>
        <v>100</v>
      </c>
      <c r="L55" s="526">
        <f t="shared" si="2"/>
        <v>100</v>
      </c>
      <c r="M55" s="213"/>
      <c r="N55" s="793">
        <v>98.5</v>
      </c>
      <c r="O55" s="360">
        <v>98.2</v>
      </c>
    </row>
    <row r="56" spans="1:15" ht="15.75">
      <c r="A56" s="135"/>
      <c r="B56" s="136" t="s">
        <v>172</v>
      </c>
      <c r="C56" s="137" t="s">
        <v>23</v>
      </c>
      <c r="D56" s="163">
        <v>98.2</v>
      </c>
      <c r="E56" s="163">
        <v>98.3</v>
      </c>
      <c r="F56" s="769">
        <v>98.3</v>
      </c>
      <c r="G56" s="163">
        <v>98.2</v>
      </c>
      <c r="H56" s="793">
        <v>98.4</v>
      </c>
      <c r="I56" s="793">
        <v>98.4</v>
      </c>
      <c r="J56" s="526">
        <f t="shared" si="0"/>
        <v>100.10183299389001</v>
      </c>
      <c r="K56" s="526">
        <f t="shared" si="1"/>
        <v>99.89837398373983</v>
      </c>
      <c r="L56" s="526">
        <f t="shared" si="2"/>
        <v>99.89837398373983</v>
      </c>
      <c r="M56" s="213"/>
      <c r="N56" s="793">
        <v>98.4</v>
      </c>
      <c r="O56" s="360"/>
    </row>
    <row r="57" spans="1:15" ht="15.75">
      <c r="A57" s="135"/>
      <c r="B57" s="136" t="s">
        <v>577</v>
      </c>
      <c r="C57" s="137" t="s">
        <v>23</v>
      </c>
      <c r="D57" s="163">
        <v>100.1</v>
      </c>
      <c r="E57" s="163">
        <v>100.2</v>
      </c>
      <c r="F57" s="769">
        <v>100.2</v>
      </c>
      <c r="G57" s="163">
        <v>100.2</v>
      </c>
      <c r="H57" s="793"/>
      <c r="I57" s="793">
        <v>100.3</v>
      </c>
      <c r="J57" s="526">
        <f t="shared" si="0"/>
        <v>100</v>
      </c>
      <c r="K57" s="526"/>
      <c r="L57" s="526">
        <f t="shared" si="2"/>
        <v>99.90029910269193</v>
      </c>
      <c r="M57" s="213"/>
      <c r="N57" s="793">
        <v>100.3</v>
      </c>
      <c r="O57" s="360"/>
    </row>
    <row r="58" spans="1:15" ht="15.75">
      <c r="A58" s="135"/>
      <c r="B58" s="136" t="s">
        <v>173</v>
      </c>
      <c r="C58" s="137" t="s">
        <v>23</v>
      </c>
      <c r="D58" s="163">
        <f>100-D56</f>
        <v>1.7999999999999972</v>
      </c>
      <c r="E58" s="163">
        <f>100-E56</f>
        <v>1.7000000000000028</v>
      </c>
      <c r="F58" s="769">
        <v>1.7</v>
      </c>
      <c r="G58" s="163">
        <v>1.7999999999999972</v>
      </c>
      <c r="H58" s="769"/>
      <c r="I58" s="769">
        <f>100-I56</f>
        <v>1.5999999999999943</v>
      </c>
      <c r="J58" s="526">
        <f t="shared" si="0"/>
        <v>94.44444444444458</v>
      </c>
      <c r="K58" s="526"/>
      <c r="L58" s="526">
        <f t="shared" si="2"/>
        <v>106.25000000000038</v>
      </c>
      <c r="M58" s="163"/>
      <c r="N58" s="769">
        <v>1.5999999999999943</v>
      </c>
      <c r="O58" s="360"/>
    </row>
    <row r="59" spans="1:15" ht="15.75">
      <c r="A59" s="135"/>
      <c r="B59" s="140" t="s">
        <v>163</v>
      </c>
      <c r="C59" s="137" t="s">
        <v>23</v>
      </c>
      <c r="D59" s="163">
        <v>46.52390730419478</v>
      </c>
      <c r="E59" s="163">
        <v>47.2</v>
      </c>
      <c r="F59" s="769">
        <v>44.8</v>
      </c>
      <c r="G59" s="163">
        <v>46.478663085646076</v>
      </c>
      <c r="H59" s="793">
        <v>46.6</v>
      </c>
      <c r="I59" s="793">
        <v>46.6</v>
      </c>
      <c r="J59" s="526">
        <f t="shared" si="0"/>
        <v>96.38831460674156</v>
      </c>
      <c r="K59" s="526">
        <f t="shared" si="1"/>
        <v>96.13733905579397</v>
      </c>
      <c r="L59" s="526">
        <f t="shared" si="2"/>
        <v>96.13733905579397</v>
      </c>
      <c r="M59" s="213"/>
      <c r="N59" s="793">
        <v>46.6</v>
      </c>
      <c r="O59" s="360">
        <v>46.6</v>
      </c>
    </row>
    <row r="60" spans="1:15" ht="15.75">
      <c r="A60" s="135"/>
      <c r="B60" s="136" t="s">
        <v>164</v>
      </c>
      <c r="C60" s="137" t="s">
        <v>23</v>
      </c>
      <c r="D60" s="164">
        <v>0.2</v>
      </c>
      <c r="E60" s="164">
        <v>0.1</v>
      </c>
      <c r="F60" s="779">
        <v>0.13958682300390843</v>
      </c>
      <c r="G60" s="164">
        <v>0.1939719486720382</v>
      </c>
      <c r="H60" s="793">
        <v>0.2</v>
      </c>
      <c r="I60" s="793">
        <v>0.2</v>
      </c>
      <c r="J60" s="526">
        <f t="shared" si="0"/>
        <v>71.96237598247647</v>
      </c>
      <c r="K60" s="526">
        <f t="shared" si="1"/>
        <v>69.79341150195421</v>
      </c>
      <c r="L60" s="526">
        <f t="shared" si="2"/>
        <v>69.79341150195421</v>
      </c>
      <c r="M60" s="213"/>
      <c r="N60" s="793">
        <v>0.2</v>
      </c>
      <c r="O60" s="368">
        <v>0.2</v>
      </c>
    </row>
    <row r="61" spans="1:15" ht="15.75">
      <c r="A61" s="135"/>
      <c r="B61" s="136" t="s">
        <v>165</v>
      </c>
      <c r="C61" s="137" t="s">
        <v>23</v>
      </c>
      <c r="D61" s="163">
        <v>0.5</v>
      </c>
      <c r="E61" s="163">
        <v>0.8</v>
      </c>
      <c r="F61" s="794">
        <v>0.6</v>
      </c>
      <c r="G61" s="163">
        <v>0.8</v>
      </c>
      <c r="H61" s="769">
        <v>0.8</v>
      </c>
      <c r="I61" s="769">
        <v>0.8</v>
      </c>
      <c r="J61" s="526">
        <f t="shared" si="0"/>
        <v>74.99999999999999</v>
      </c>
      <c r="K61" s="526">
        <f t="shared" si="1"/>
        <v>74.99999999999999</v>
      </c>
      <c r="L61" s="526">
        <f t="shared" si="2"/>
        <v>74.99999999999999</v>
      </c>
      <c r="M61" s="163"/>
      <c r="N61" s="769">
        <v>0.8</v>
      </c>
      <c r="O61" s="360">
        <v>0.6</v>
      </c>
    </row>
    <row r="62" spans="1:15" ht="15.75">
      <c r="A62" s="135"/>
      <c r="B62" s="140" t="s">
        <v>174</v>
      </c>
      <c r="C62" s="137" t="s">
        <v>23</v>
      </c>
      <c r="D62" s="163">
        <v>99.7</v>
      </c>
      <c r="E62" s="163">
        <v>99.2</v>
      </c>
      <c r="F62" s="794">
        <v>99</v>
      </c>
      <c r="G62" s="163">
        <v>99.2</v>
      </c>
      <c r="H62" s="793"/>
      <c r="I62" s="793">
        <v>99.5</v>
      </c>
      <c r="J62" s="526">
        <f t="shared" si="0"/>
        <v>99.79838709677419</v>
      </c>
      <c r="K62" s="526"/>
      <c r="L62" s="526">
        <f t="shared" si="2"/>
        <v>99.49748743718592</v>
      </c>
      <c r="M62" s="213"/>
      <c r="N62" s="793">
        <v>99.5</v>
      </c>
      <c r="O62" s="360"/>
    </row>
    <row r="63" spans="1:15" ht="15.75">
      <c r="A63" s="135"/>
      <c r="B63" s="140" t="s">
        <v>175</v>
      </c>
      <c r="C63" s="137" t="s">
        <v>23</v>
      </c>
      <c r="D63" s="163">
        <v>93.4</v>
      </c>
      <c r="E63" s="163">
        <v>93.5</v>
      </c>
      <c r="F63" s="769">
        <v>93.5</v>
      </c>
      <c r="G63" s="163">
        <v>93.5</v>
      </c>
      <c r="H63" s="793"/>
      <c r="I63" s="793">
        <v>93.6</v>
      </c>
      <c r="J63" s="526">
        <f t="shared" si="0"/>
        <v>100</v>
      </c>
      <c r="K63" s="526"/>
      <c r="L63" s="526">
        <f t="shared" si="2"/>
        <v>99.8931623931624</v>
      </c>
      <c r="M63" s="213"/>
      <c r="N63" s="793">
        <v>93.6</v>
      </c>
      <c r="O63" s="360"/>
    </row>
    <row r="64" spans="1:17" s="480" customFormat="1" ht="15.75">
      <c r="A64" s="594" t="s">
        <v>176</v>
      </c>
      <c r="B64" s="595" t="s">
        <v>177</v>
      </c>
      <c r="C64" s="596" t="s">
        <v>123</v>
      </c>
      <c r="D64" s="619">
        <v>3410</v>
      </c>
      <c r="E64" s="619">
        <v>3404</v>
      </c>
      <c r="F64" s="795">
        <v>3322</v>
      </c>
      <c r="G64" s="619">
        <v>3306</v>
      </c>
      <c r="H64" s="795">
        <v>3453</v>
      </c>
      <c r="I64" s="795">
        <v>3459</v>
      </c>
      <c r="J64" s="607">
        <f t="shared" si="0"/>
        <v>100.48396854204478</v>
      </c>
      <c r="K64" s="607">
        <f t="shared" si="1"/>
        <v>96.2061975094121</v>
      </c>
      <c r="L64" s="607">
        <f t="shared" si="2"/>
        <v>96.03931772188494</v>
      </c>
      <c r="M64" s="619"/>
      <c r="N64" s="796">
        <v>3459</v>
      </c>
      <c r="O64" s="620">
        <v>3380</v>
      </c>
      <c r="P64" s="601"/>
      <c r="Q64" s="601"/>
    </row>
    <row r="65" spans="1:15" ht="15.75">
      <c r="A65" s="135"/>
      <c r="B65" s="140" t="s">
        <v>178</v>
      </c>
      <c r="C65" s="137" t="s">
        <v>150</v>
      </c>
      <c r="D65" s="167">
        <v>349</v>
      </c>
      <c r="E65" s="116">
        <v>349</v>
      </c>
      <c r="F65" s="767">
        <v>345</v>
      </c>
      <c r="G65" s="167">
        <v>344</v>
      </c>
      <c r="H65" s="797">
        <v>350</v>
      </c>
      <c r="I65" s="797">
        <v>350</v>
      </c>
      <c r="J65" s="526">
        <f t="shared" si="0"/>
        <v>100.29069767441861</v>
      </c>
      <c r="K65" s="526">
        <f t="shared" si="1"/>
        <v>98.57142857142858</v>
      </c>
      <c r="L65" s="526">
        <f t="shared" si="2"/>
        <v>98.57142857142858</v>
      </c>
      <c r="M65" s="167"/>
      <c r="N65" s="798">
        <v>350</v>
      </c>
      <c r="O65" s="369">
        <v>350</v>
      </c>
    </row>
    <row r="66" spans="1:15" ht="15.75">
      <c r="A66" s="135"/>
      <c r="B66" s="140" t="s">
        <v>179</v>
      </c>
      <c r="C66" s="137" t="s">
        <v>150</v>
      </c>
      <c r="D66" s="116">
        <v>622</v>
      </c>
      <c r="E66" s="116">
        <v>685</v>
      </c>
      <c r="F66" s="767">
        <v>594</v>
      </c>
      <c r="G66" s="116">
        <v>492</v>
      </c>
      <c r="H66" s="767">
        <v>730</v>
      </c>
      <c r="I66" s="767">
        <v>730</v>
      </c>
      <c r="J66" s="526">
        <f t="shared" si="0"/>
        <v>120.73170731707317</v>
      </c>
      <c r="K66" s="526">
        <f t="shared" si="1"/>
        <v>81.36986301369863</v>
      </c>
      <c r="L66" s="526">
        <f t="shared" si="2"/>
        <v>81.36986301369863</v>
      </c>
      <c r="M66" s="116"/>
      <c r="N66" s="799">
        <v>730</v>
      </c>
      <c r="O66" s="370">
        <v>700</v>
      </c>
    </row>
    <row r="67" spans="1:15" ht="15.75">
      <c r="A67" s="135"/>
      <c r="B67" s="140" t="s">
        <v>180</v>
      </c>
      <c r="C67" s="137" t="s">
        <v>152</v>
      </c>
      <c r="D67" s="167">
        <v>87</v>
      </c>
      <c r="E67" s="167">
        <v>87</v>
      </c>
      <c r="F67" s="797">
        <v>88</v>
      </c>
      <c r="G67" s="167">
        <v>87</v>
      </c>
      <c r="H67" s="797">
        <v>89</v>
      </c>
      <c r="I67" s="797">
        <v>89</v>
      </c>
      <c r="J67" s="526">
        <f t="shared" si="0"/>
        <v>101.14942528735634</v>
      </c>
      <c r="K67" s="526">
        <f t="shared" si="1"/>
        <v>98.87640449438202</v>
      </c>
      <c r="L67" s="526">
        <f t="shared" si="2"/>
        <v>98.87640449438202</v>
      </c>
      <c r="M67" s="167"/>
      <c r="N67" s="798">
        <v>89</v>
      </c>
      <c r="O67" s="369">
        <v>87</v>
      </c>
    </row>
    <row r="68" spans="1:16" ht="15.75">
      <c r="A68" s="135"/>
      <c r="B68" s="136" t="s">
        <v>181</v>
      </c>
      <c r="C68" s="137" t="s">
        <v>182</v>
      </c>
      <c r="D68" s="167">
        <v>84.7</v>
      </c>
      <c r="E68" s="167">
        <v>83.5</v>
      </c>
      <c r="F68" s="797">
        <v>83.3</v>
      </c>
      <c r="G68" s="167">
        <v>84.6</v>
      </c>
      <c r="H68" s="800">
        <v>83.2</v>
      </c>
      <c r="I68" s="800">
        <v>83.2</v>
      </c>
      <c r="J68" s="526">
        <f t="shared" si="0"/>
        <v>98.46335697399527</v>
      </c>
      <c r="K68" s="526">
        <f t="shared" si="1"/>
        <v>100.12019230769229</v>
      </c>
      <c r="L68" s="526">
        <f t="shared" si="2"/>
        <v>100.12019230769229</v>
      </c>
      <c r="M68" s="93"/>
      <c r="N68" s="798">
        <v>83.2</v>
      </c>
      <c r="O68" s="369">
        <v>83.1</v>
      </c>
      <c r="P68" s="345">
        <f>J68-D68</f>
        <v>13.763356973995272</v>
      </c>
    </row>
    <row r="69" spans="1:16" ht="15.75">
      <c r="A69" s="135"/>
      <c r="B69" s="136" t="s">
        <v>183</v>
      </c>
      <c r="C69" s="137" t="s">
        <v>23</v>
      </c>
      <c r="D69" s="87">
        <v>80.7</v>
      </c>
      <c r="E69" s="87">
        <v>80.5</v>
      </c>
      <c r="F69" s="801">
        <v>80.1</v>
      </c>
      <c r="G69" s="87">
        <v>80.5</v>
      </c>
      <c r="H69" s="802">
        <v>80.2</v>
      </c>
      <c r="I69" s="802">
        <v>80.2</v>
      </c>
      <c r="J69" s="526">
        <f t="shared" si="0"/>
        <v>99.5031055900621</v>
      </c>
      <c r="K69" s="526">
        <f t="shared" si="1"/>
        <v>99.87531172069825</v>
      </c>
      <c r="L69" s="526">
        <f t="shared" si="2"/>
        <v>99.87531172069825</v>
      </c>
      <c r="M69" s="92"/>
      <c r="N69" s="803">
        <v>80.2</v>
      </c>
      <c r="O69" s="371">
        <v>80.2</v>
      </c>
      <c r="P69" s="372">
        <f>J69-D69</f>
        <v>18.803105590062103</v>
      </c>
    </row>
    <row r="70" spans="1:15" ht="15.75">
      <c r="A70" s="135"/>
      <c r="B70" s="136" t="s">
        <v>184</v>
      </c>
      <c r="C70" s="137" t="s">
        <v>23</v>
      </c>
      <c r="D70" s="87">
        <v>46.3</v>
      </c>
      <c r="E70" s="87">
        <v>46.4</v>
      </c>
      <c r="F70" s="801">
        <v>45.3</v>
      </c>
      <c r="G70" s="87">
        <v>46.3</v>
      </c>
      <c r="H70" s="767">
        <v>46.1</v>
      </c>
      <c r="I70" s="767">
        <v>46.5</v>
      </c>
      <c r="J70" s="526">
        <f t="shared" si="0"/>
        <v>97.8401727861771</v>
      </c>
      <c r="K70" s="526">
        <f t="shared" si="1"/>
        <v>98.26464208242949</v>
      </c>
      <c r="L70" s="526">
        <f t="shared" si="2"/>
        <v>97.41935483870967</v>
      </c>
      <c r="M70" s="116"/>
      <c r="N70" s="799">
        <v>46.5</v>
      </c>
      <c r="O70" s="370">
        <v>46.1</v>
      </c>
    </row>
    <row r="71" spans="1:15" ht="30">
      <c r="A71" s="135"/>
      <c r="B71" s="140" t="s">
        <v>185</v>
      </c>
      <c r="C71" s="137" t="s">
        <v>23</v>
      </c>
      <c r="D71" s="87">
        <v>4.4</v>
      </c>
      <c r="E71" s="87">
        <v>4.7</v>
      </c>
      <c r="F71" s="801">
        <v>4.7</v>
      </c>
      <c r="G71" s="87">
        <v>4.4</v>
      </c>
      <c r="H71" s="800"/>
      <c r="I71" s="800">
        <v>3.8</v>
      </c>
      <c r="J71" s="526">
        <f t="shared" si="0"/>
        <v>106.81818181818181</v>
      </c>
      <c r="K71" s="526"/>
      <c r="L71" s="526">
        <f t="shared" si="2"/>
        <v>123.6842105263158</v>
      </c>
      <c r="M71" s="93"/>
      <c r="N71" s="798">
        <v>3.8</v>
      </c>
      <c r="O71" s="369"/>
    </row>
    <row r="72" spans="1:15" ht="15.75">
      <c r="A72" s="135"/>
      <c r="B72" s="136" t="s">
        <v>186</v>
      </c>
      <c r="C72" s="137" t="s">
        <v>23</v>
      </c>
      <c r="D72" s="163">
        <v>1.2</v>
      </c>
      <c r="E72" s="163">
        <v>1</v>
      </c>
      <c r="F72" s="769">
        <v>1</v>
      </c>
      <c r="G72" s="163">
        <v>1.2</v>
      </c>
      <c r="H72" s="769">
        <v>1.1</v>
      </c>
      <c r="I72" s="769">
        <v>1</v>
      </c>
      <c r="J72" s="526">
        <f t="shared" si="0"/>
        <v>83.33333333333334</v>
      </c>
      <c r="K72" s="526">
        <f t="shared" si="1"/>
        <v>90.9090909090909</v>
      </c>
      <c r="L72" s="526">
        <f t="shared" si="2"/>
        <v>100</v>
      </c>
      <c r="M72" s="163"/>
      <c r="N72" s="768">
        <v>1</v>
      </c>
      <c r="O72" s="360">
        <v>1.1</v>
      </c>
    </row>
    <row r="73" spans="1:15" ht="15.75">
      <c r="A73" s="135"/>
      <c r="B73" s="136" t="s">
        <v>187</v>
      </c>
      <c r="C73" s="137" t="s">
        <v>23</v>
      </c>
      <c r="D73" s="163">
        <v>1.2</v>
      </c>
      <c r="E73" s="163">
        <v>2.3</v>
      </c>
      <c r="F73" s="769"/>
      <c r="G73" s="163">
        <v>1.2</v>
      </c>
      <c r="H73" s="769">
        <v>1.4</v>
      </c>
      <c r="I73" s="769">
        <v>1.4</v>
      </c>
      <c r="J73" s="526">
        <f t="shared" si="0"/>
        <v>0</v>
      </c>
      <c r="K73" s="526">
        <f t="shared" si="1"/>
        <v>0</v>
      </c>
      <c r="L73" s="526">
        <f t="shared" si="2"/>
        <v>0</v>
      </c>
      <c r="M73" s="163"/>
      <c r="N73" s="768">
        <v>1.4</v>
      </c>
      <c r="O73" s="360">
        <v>1.5</v>
      </c>
    </row>
    <row r="74" spans="1:15" ht="15.75">
      <c r="A74" s="135"/>
      <c r="B74" s="140" t="s">
        <v>188</v>
      </c>
      <c r="C74" s="137" t="s">
        <v>23</v>
      </c>
      <c r="D74" s="116">
        <v>99.9</v>
      </c>
      <c r="E74" s="116">
        <v>100</v>
      </c>
      <c r="F74" s="767"/>
      <c r="G74" s="116"/>
      <c r="H74" s="804"/>
      <c r="I74" s="804">
        <v>98</v>
      </c>
      <c r="J74" s="526"/>
      <c r="K74" s="526"/>
      <c r="L74" s="526">
        <f t="shared" si="2"/>
        <v>0</v>
      </c>
      <c r="M74" s="91"/>
      <c r="N74" s="768">
        <v>98</v>
      </c>
      <c r="O74" s="360"/>
    </row>
    <row r="75" spans="1:17" s="480" customFormat="1" ht="16.5" customHeight="1">
      <c r="A75" s="594">
        <v>3</v>
      </c>
      <c r="B75" s="595" t="s">
        <v>189</v>
      </c>
      <c r="C75" s="596" t="s">
        <v>123</v>
      </c>
      <c r="D75" s="613">
        <f>D80</f>
        <v>309</v>
      </c>
      <c r="E75" s="470">
        <v>387</v>
      </c>
      <c r="F75" s="805">
        <v>336</v>
      </c>
      <c r="G75" s="470">
        <v>195</v>
      </c>
      <c r="H75" s="749">
        <v>300</v>
      </c>
      <c r="I75" s="749">
        <v>300</v>
      </c>
      <c r="J75" s="607">
        <f t="shared" si="0"/>
        <v>172.30769230769232</v>
      </c>
      <c r="K75" s="607">
        <f t="shared" si="1"/>
        <v>112.00000000000001</v>
      </c>
      <c r="L75" s="607">
        <f t="shared" si="2"/>
        <v>112.00000000000001</v>
      </c>
      <c r="M75" s="597"/>
      <c r="N75" s="776">
        <v>300</v>
      </c>
      <c r="O75" s="614">
        <v>220</v>
      </c>
      <c r="P75" s="601"/>
      <c r="Q75" s="601"/>
    </row>
    <row r="76" spans="1:15" ht="15.75">
      <c r="A76" s="135"/>
      <c r="B76" s="140" t="s">
        <v>190</v>
      </c>
      <c r="C76" s="137" t="s">
        <v>123</v>
      </c>
      <c r="D76" s="85"/>
      <c r="E76" s="85"/>
      <c r="F76" s="734"/>
      <c r="G76" s="85"/>
      <c r="H76" s="806"/>
      <c r="I76" s="806"/>
      <c r="J76" s="526"/>
      <c r="K76" s="526"/>
      <c r="L76" s="526"/>
      <c r="M76" s="138"/>
      <c r="N76" s="778"/>
      <c r="O76" s="363"/>
    </row>
    <row r="77" spans="1:15" ht="15.75">
      <c r="A77" s="135"/>
      <c r="B77" s="136" t="s">
        <v>586</v>
      </c>
      <c r="C77" s="137" t="s">
        <v>587</v>
      </c>
      <c r="D77" s="44"/>
      <c r="E77" s="44"/>
      <c r="F77" s="807"/>
      <c r="G77" s="44"/>
      <c r="H77" s="806"/>
      <c r="I77" s="806"/>
      <c r="J77" s="526"/>
      <c r="K77" s="526"/>
      <c r="L77" s="526"/>
      <c r="M77" s="138"/>
      <c r="N77" s="778"/>
      <c r="O77" s="363"/>
    </row>
    <row r="78" spans="1:15" ht="15.75">
      <c r="A78" s="135"/>
      <c r="B78" s="140" t="s">
        <v>191</v>
      </c>
      <c r="C78" s="137" t="s">
        <v>123</v>
      </c>
      <c r="D78" s="85"/>
      <c r="E78" s="85"/>
      <c r="F78" s="734"/>
      <c r="G78" s="85"/>
      <c r="H78" s="806"/>
      <c r="I78" s="806"/>
      <c r="J78" s="526"/>
      <c r="K78" s="526"/>
      <c r="L78" s="526"/>
      <c r="M78" s="138"/>
      <c r="N78" s="778"/>
      <c r="O78" s="363"/>
    </row>
    <row r="79" spans="1:15" ht="15.75">
      <c r="A79" s="135"/>
      <c r="B79" s="136" t="s">
        <v>588</v>
      </c>
      <c r="C79" s="137" t="s">
        <v>587</v>
      </c>
      <c r="D79" s="85">
        <v>6</v>
      </c>
      <c r="E79" s="7">
        <v>8</v>
      </c>
      <c r="F79" s="799">
        <v>8</v>
      </c>
      <c r="G79" s="7">
        <v>6</v>
      </c>
      <c r="H79" s="777"/>
      <c r="I79" s="777">
        <v>8</v>
      </c>
      <c r="J79" s="526">
        <f aca="true" t="shared" si="5" ref="J79:J142">F79/G79*100</f>
        <v>133.33333333333331</v>
      </c>
      <c r="K79" s="526"/>
      <c r="L79" s="526">
        <f aca="true" t="shared" si="6" ref="L79:L142">F79/I79*100</f>
        <v>100</v>
      </c>
      <c r="M79" s="139"/>
      <c r="N79" s="778">
        <v>8</v>
      </c>
      <c r="O79" s="363"/>
    </row>
    <row r="80" spans="1:16" ht="15.75">
      <c r="A80" s="135"/>
      <c r="B80" s="140" t="s">
        <v>192</v>
      </c>
      <c r="C80" s="137" t="s">
        <v>123</v>
      </c>
      <c r="D80" s="85">
        <v>309</v>
      </c>
      <c r="E80" s="7">
        <v>387</v>
      </c>
      <c r="F80" s="799">
        <v>336</v>
      </c>
      <c r="G80" s="7">
        <v>195</v>
      </c>
      <c r="H80" s="777">
        <v>300</v>
      </c>
      <c r="I80" s="777">
        <v>300</v>
      </c>
      <c r="J80" s="526">
        <f t="shared" si="5"/>
        <v>172.30769230769232</v>
      </c>
      <c r="K80" s="526">
        <f>F80/H80*100</f>
        <v>112.00000000000001</v>
      </c>
      <c r="L80" s="526">
        <f t="shared" si="6"/>
        <v>112.00000000000001</v>
      </c>
      <c r="M80" s="139"/>
      <c r="N80" s="778">
        <v>300</v>
      </c>
      <c r="O80" s="363">
        <v>220</v>
      </c>
      <c r="P80" s="373">
        <f>I80-E80</f>
        <v>-87</v>
      </c>
    </row>
    <row r="81" spans="1:17" s="468" customFormat="1" ht="15.75">
      <c r="A81" s="602" t="s">
        <v>46</v>
      </c>
      <c r="B81" s="603" t="s">
        <v>193</v>
      </c>
      <c r="C81" s="604" t="s">
        <v>123</v>
      </c>
      <c r="D81" s="615">
        <f>D82+D83</f>
        <v>2728</v>
      </c>
      <c r="E81" s="621">
        <v>1580</v>
      </c>
      <c r="F81" s="808">
        <v>1576</v>
      </c>
      <c r="G81" s="615">
        <f>G82+G83</f>
        <v>2622</v>
      </c>
      <c r="H81" s="808"/>
      <c r="I81" s="808">
        <v>1715</v>
      </c>
      <c r="J81" s="599">
        <f t="shared" si="5"/>
        <v>60.1067887109077</v>
      </c>
      <c r="K81" s="599"/>
      <c r="L81" s="599">
        <f t="shared" si="6"/>
        <v>91.89504373177843</v>
      </c>
      <c r="M81" s="621"/>
      <c r="N81" s="809">
        <v>1715</v>
      </c>
      <c r="O81" s="616"/>
      <c r="P81" s="606"/>
      <c r="Q81" s="606"/>
    </row>
    <row r="82" spans="1:15" ht="15.75">
      <c r="A82" s="135"/>
      <c r="B82" s="136" t="s">
        <v>194</v>
      </c>
      <c r="C82" s="137" t="s">
        <v>123</v>
      </c>
      <c r="D82" s="44">
        <v>1605</v>
      </c>
      <c r="E82" s="44">
        <v>1580</v>
      </c>
      <c r="F82" s="807">
        <v>1576</v>
      </c>
      <c r="G82" s="44">
        <v>1544</v>
      </c>
      <c r="H82" s="807"/>
      <c r="I82" s="807">
        <v>1715</v>
      </c>
      <c r="J82" s="526">
        <f t="shared" si="5"/>
        <v>102.07253886010363</v>
      </c>
      <c r="K82" s="526"/>
      <c r="L82" s="526">
        <f t="shared" si="6"/>
        <v>91.89504373177843</v>
      </c>
      <c r="M82" s="44"/>
      <c r="N82" s="807">
        <v>1715</v>
      </c>
      <c r="O82" s="374"/>
    </row>
    <row r="83" spans="1:15" ht="15.75">
      <c r="A83" s="135"/>
      <c r="B83" s="136" t="s">
        <v>195</v>
      </c>
      <c r="C83" s="137" t="s">
        <v>123</v>
      </c>
      <c r="D83" s="44">
        <v>1123</v>
      </c>
      <c r="E83" s="44"/>
      <c r="F83" s="807"/>
      <c r="G83" s="44">
        <v>1078</v>
      </c>
      <c r="H83" s="807"/>
      <c r="I83" s="807"/>
      <c r="J83" s="526">
        <f t="shared" si="5"/>
        <v>0</v>
      </c>
      <c r="K83" s="526"/>
      <c r="L83" s="526"/>
      <c r="M83" s="44"/>
      <c r="N83" s="778"/>
      <c r="O83" s="363"/>
    </row>
    <row r="84" spans="1:17" s="468" customFormat="1" ht="15.75">
      <c r="A84" s="602">
        <v>1</v>
      </c>
      <c r="B84" s="625" t="s">
        <v>196</v>
      </c>
      <c r="C84" s="604" t="s">
        <v>589</v>
      </c>
      <c r="D84" s="626">
        <v>21</v>
      </c>
      <c r="E84" s="626">
        <v>21</v>
      </c>
      <c r="F84" s="810">
        <v>21</v>
      </c>
      <c r="G84" s="626">
        <v>21</v>
      </c>
      <c r="H84" s="810">
        <v>21</v>
      </c>
      <c r="I84" s="810">
        <v>21</v>
      </c>
      <c r="J84" s="599">
        <f t="shared" si="5"/>
        <v>100</v>
      </c>
      <c r="K84" s="599">
        <f>F84/H84*100</f>
        <v>100</v>
      </c>
      <c r="L84" s="599">
        <f t="shared" si="6"/>
        <v>100</v>
      </c>
      <c r="M84" s="626"/>
      <c r="N84" s="809">
        <v>21</v>
      </c>
      <c r="O84" s="616"/>
      <c r="P84" s="606"/>
      <c r="Q84" s="606"/>
    </row>
    <row r="85" spans="1:17" s="468" customFormat="1" ht="15.75">
      <c r="A85" s="602">
        <v>2</v>
      </c>
      <c r="B85" s="625" t="s">
        <v>197</v>
      </c>
      <c r="C85" s="628"/>
      <c r="D85" s="615"/>
      <c r="E85" s="615"/>
      <c r="F85" s="811"/>
      <c r="G85" s="615"/>
      <c r="H85" s="812"/>
      <c r="I85" s="812"/>
      <c r="J85" s="599"/>
      <c r="K85" s="599"/>
      <c r="L85" s="599"/>
      <c r="M85" s="599"/>
      <c r="N85" s="809"/>
      <c r="O85" s="616"/>
      <c r="P85" s="606"/>
      <c r="Q85" s="606"/>
    </row>
    <row r="86" spans="1:15" ht="15.75">
      <c r="A86" s="135"/>
      <c r="B86" s="14" t="s">
        <v>198</v>
      </c>
      <c r="C86" s="24" t="s">
        <v>23</v>
      </c>
      <c r="D86" s="87">
        <v>99.8</v>
      </c>
      <c r="E86" s="87">
        <v>99.8</v>
      </c>
      <c r="F86" s="801">
        <v>99.8</v>
      </c>
      <c r="G86" s="87">
        <v>99.8</v>
      </c>
      <c r="H86" s="801"/>
      <c r="I86" s="801">
        <v>99.8</v>
      </c>
      <c r="J86" s="526">
        <f t="shared" si="5"/>
        <v>100</v>
      </c>
      <c r="K86" s="526"/>
      <c r="L86" s="526">
        <f t="shared" si="6"/>
        <v>100</v>
      </c>
      <c r="M86" s="87"/>
      <c r="N86" s="788">
        <v>99.8</v>
      </c>
      <c r="O86" s="366"/>
    </row>
    <row r="87" spans="1:15" ht="15.75">
      <c r="A87" s="135"/>
      <c r="B87" s="14" t="s">
        <v>199</v>
      </c>
      <c r="C87" s="24" t="s">
        <v>23</v>
      </c>
      <c r="D87" s="163">
        <v>99.7</v>
      </c>
      <c r="E87" s="87">
        <v>99.2</v>
      </c>
      <c r="F87" s="813">
        <v>99</v>
      </c>
      <c r="G87" s="163">
        <v>99.2</v>
      </c>
      <c r="H87" s="769"/>
      <c r="I87" s="801">
        <v>99.5</v>
      </c>
      <c r="J87" s="526">
        <f t="shared" si="5"/>
        <v>99.79838709677419</v>
      </c>
      <c r="K87" s="526"/>
      <c r="L87" s="526">
        <f t="shared" si="6"/>
        <v>99.49748743718592</v>
      </c>
      <c r="M87" s="163"/>
      <c r="N87" s="801">
        <v>99.5</v>
      </c>
      <c r="O87" s="360"/>
    </row>
    <row r="88" spans="1:15" ht="15.75">
      <c r="A88" s="135"/>
      <c r="B88" s="136" t="s">
        <v>200</v>
      </c>
      <c r="C88" s="24" t="s">
        <v>23</v>
      </c>
      <c r="D88" s="116">
        <v>99.9</v>
      </c>
      <c r="E88" s="116">
        <v>100</v>
      </c>
      <c r="F88" s="767"/>
      <c r="G88" s="116"/>
      <c r="H88" s="806"/>
      <c r="I88" s="806">
        <v>99.8</v>
      </c>
      <c r="J88" s="526"/>
      <c r="K88" s="526"/>
      <c r="L88" s="526"/>
      <c r="M88" s="138"/>
      <c r="N88" s="768">
        <v>99.8</v>
      </c>
      <c r="O88" s="360"/>
    </row>
    <row r="89" spans="1:15" ht="15.75">
      <c r="A89" s="127" t="s">
        <v>53</v>
      </c>
      <c r="B89" s="128" t="s">
        <v>201</v>
      </c>
      <c r="C89" s="129"/>
      <c r="D89" s="139"/>
      <c r="E89" s="139"/>
      <c r="F89" s="777"/>
      <c r="G89" s="139"/>
      <c r="H89" s="774"/>
      <c r="I89" s="774"/>
      <c r="J89" s="526"/>
      <c r="K89" s="526"/>
      <c r="L89" s="526"/>
      <c r="M89" s="130"/>
      <c r="N89" s="799"/>
      <c r="O89" s="370"/>
    </row>
    <row r="90" spans="1:15" ht="15.75">
      <c r="A90" s="135">
        <v>1</v>
      </c>
      <c r="B90" s="140" t="s">
        <v>202</v>
      </c>
      <c r="C90" s="137" t="s">
        <v>203</v>
      </c>
      <c r="D90" s="157">
        <v>21</v>
      </c>
      <c r="E90" s="157">
        <v>21</v>
      </c>
      <c r="F90" s="752">
        <v>21</v>
      </c>
      <c r="G90" s="157">
        <v>21</v>
      </c>
      <c r="H90" s="752">
        <v>21</v>
      </c>
      <c r="I90" s="752">
        <v>21</v>
      </c>
      <c r="J90" s="526">
        <f t="shared" si="5"/>
        <v>100</v>
      </c>
      <c r="K90" s="526">
        <f aca="true" t="shared" si="7" ref="K90:K99">F90/H90*100</f>
        <v>100</v>
      </c>
      <c r="L90" s="526">
        <f t="shared" si="6"/>
        <v>100</v>
      </c>
      <c r="M90" s="157"/>
      <c r="N90" s="752">
        <v>21</v>
      </c>
      <c r="O90" s="363"/>
    </row>
    <row r="91" spans="1:15" ht="15.75">
      <c r="A91" s="135">
        <v>2</v>
      </c>
      <c r="B91" s="149" t="s">
        <v>212</v>
      </c>
      <c r="C91" s="137" t="s">
        <v>203</v>
      </c>
      <c r="D91" s="157">
        <v>21</v>
      </c>
      <c r="E91" s="157">
        <v>21</v>
      </c>
      <c r="F91" s="752">
        <v>21</v>
      </c>
      <c r="G91" s="157">
        <v>21</v>
      </c>
      <c r="H91" s="752">
        <v>21</v>
      </c>
      <c r="I91" s="752">
        <v>21</v>
      </c>
      <c r="J91" s="526">
        <f t="shared" si="5"/>
        <v>100</v>
      </c>
      <c r="K91" s="526">
        <f t="shared" si="7"/>
        <v>100</v>
      </c>
      <c r="L91" s="526">
        <f t="shared" si="6"/>
        <v>100</v>
      </c>
      <c r="M91" s="157"/>
      <c r="N91" s="752">
        <v>21</v>
      </c>
      <c r="O91" s="363"/>
    </row>
    <row r="92" spans="1:15" ht="15.75">
      <c r="A92" s="135">
        <v>3</v>
      </c>
      <c r="B92" s="149" t="s">
        <v>204</v>
      </c>
      <c r="C92" s="137" t="s">
        <v>203</v>
      </c>
      <c r="D92" s="157">
        <v>21</v>
      </c>
      <c r="E92" s="157">
        <v>21</v>
      </c>
      <c r="F92" s="752">
        <v>21</v>
      </c>
      <c r="G92" s="157">
        <v>21</v>
      </c>
      <c r="H92" s="752">
        <v>21</v>
      </c>
      <c r="I92" s="752">
        <v>21</v>
      </c>
      <c r="J92" s="526">
        <f t="shared" si="5"/>
        <v>100</v>
      </c>
      <c r="K92" s="526">
        <f t="shared" si="7"/>
        <v>100</v>
      </c>
      <c r="L92" s="526">
        <f t="shared" si="6"/>
        <v>100</v>
      </c>
      <c r="M92" s="157"/>
      <c r="N92" s="752">
        <v>21</v>
      </c>
      <c r="O92" s="363"/>
    </row>
    <row r="93" spans="1:15" ht="15.75">
      <c r="A93" s="135">
        <v>4</v>
      </c>
      <c r="B93" s="149" t="s">
        <v>205</v>
      </c>
      <c r="C93" s="137" t="s">
        <v>203</v>
      </c>
      <c r="D93" s="157">
        <v>21</v>
      </c>
      <c r="E93" s="157">
        <v>21</v>
      </c>
      <c r="F93" s="752">
        <v>21</v>
      </c>
      <c r="G93" s="157">
        <v>21</v>
      </c>
      <c r="H93" s="752">
        <v>21</v>
      </c>
      <c r="I93" s="752">
        <v>21</v>
      </c>
      <c r="J93" s="526">
        <f t="shared" si="5"/>
        <v>100</v>
      </c>
      <c r="K93" s="526">
        <f t="shared" si="7"/>
        <v>100</v>
      </c>
      <c r="L93" s="526">
        <f t="shared" si="6"/>
        <v>100</v>
      </c>
      <c r="M93" s="157"/>
      <c r="N93" s="752">
        <v>21</v>
      </c>
      <c r="O93" s="363"/>
    </row>
    <row r="94" spans="1:15" ht="15.75">
      <c r="A94" s="135">
        <v>5</v>
      </c>
      <c r="B94" s="149" t="s">
        <v>206</v>
      </c>
      <c r="C94" s="137" t="s">
        <v>203</v>
      </c>
      <c r="D94" s="157">
        <v>21</v>
      </c>
      <c r="E94" s="157">
        <v>21</v>
      </c>
      <c r="F94" s="752">
        <v>21</v>
      </c>
      <c r="G94" s="157">
        <v>21</v>
      </c>
      <c r="H94" s="752">
        <v>21</v>
      </c>
      <c r="I94" s="752">
        <v>21</v>
      </c>
      <c r="J94" s="526">
        <f t="shared" si="5"/>
        <v>100</v>
      </c>
      <c r="K94" s="526">
        <f t="shared" si="7"/>
        <v>100</v>
      </c>
      <c r="L94" s="526">
        <f t="shared" si="6"/>
        <v>100</v>
      </c>
      <c r="M94" s="157"/>
      <c r="N94" s="752">
        <v>21</v>
      </c>
      <c r="O94" s="363"/>
    </row>
    <row r="95" spans="1:15" ht="15.75">
      <c r="A95" s="135">
        <v>6</v>
      </c>
      <c r="B95" s="149" t="s">
        <v>207</v>
      </c>
      <c r="C95" s="137" t="s">
        <v>203</v>
      </c>
      <c r="D95" s="157">
        <v>21</v>
      </c>
      <c r="E95" s="157">
        <v>21</v>
      </c>
      <c r="F95" s="752">
        <v>21</v>
      </c>
      <c r="G95" s="157">
        <v>21</v>
      </c>
      <c r="H95" s="752">
        <v>21</v>
      </c>
      <c r="I95" s="752">
        <v>21</v>
      </c>
      <c r="J95" s="526">
        <f t="shared" si="5"/>
        <v>100</v>
      </c>
      <c r="K95" s="526">
        <f t="shared" si="7"/>
        <v>100</v>
      </c>
      <c r="L95" s="526">
        <f t="shared" si="6"/>
        <v>100</v>
      </c>
      <c r="M95" s="157"/>
      <c r="N95" s="752">
        <v>21</v>
      </c>
      <c r="O95" s="363"/>
    </row>
    <row r="96" spans="1:15" ht="15.75">
      <c r="A96" s="135">
        <v>7</v>
      </c>
      <c r="B96" s="149" t="s">
        <v>208</v>
      </c>
      <c r="C96" s="137" t="s">
        <v>203</v>
      </c>
      <c r="D96" s="157">
        <v>21</v>
      </c>
      <c r="E96" s="157">
        <v>21</v>
      </c>
      <c r="F96" s="752">
        <v>21</v>
      </c>
      <c r="G96" s="157">
        <v>21</v>
      </c>
      <c r="H96" s="752">
        <v>21</v>
      </c>
      <c r="I96" s="752">
        <v>21</v>
      </c>
      <c r="J96" s="526">
        <f t="shared" si="5"/>
        <v>100</v>
      </c>
      <c r="K96" s="526">
        <f t="shared" si="7"/>
        <v>100</v>
      </c>
      <c r="L96" s="526">
        <f t="shared" si="6"/>
        <v>100</v>
      </c>
      <c r="M96" s="157"/>
      <c r="N96" s="752">
        <v>21</v>
      </c>
      <c r="O96" s="363"/>
    </row>
    <row r="97" spans="1:15" ht="15.75">
      <c r="A97" s="135">
        <v>8</v>
      </c>
      <c r="B97" s="149" t="s">
        <v>209</v>
      </c>
      <c r="C97" s="137" t="s">
        <v>203</v>
      </c>
      <c r="D97" s="157">
        <v>21</v>
      </c>
      <c r="E97" s="157">
        <v>21</v>
      </c>
      <c r="F97" s="752">
        <v>21</v>
      </c>
      <c r="G97" s="157">
        <v>21</v>
      </c>
      <c r="H97" s="752">
        <v>21</v>
      </c>
      <c r="I97" s="752">
        <v>21</v>
      </c>
      <c r="J97" s="526">
        <f t="shared" si="5"/>
        <v>100</v>
      </c>
      <c r="K97" s="526">
        <f t="shared" si="7"/>
        <v>100</v>
      </c>
      <c r="L97" s="526">
        <f t="shared" si="6"/>
        <v>100</v>
      </c>
      <c r="M97" s="157"/>
      <c r="N97" s="752">
        <v>21</v>
      </c>
      <c r="O97" s="363"/>
    </row>
    <row r="98" spans="1:15" ht="15.75">
      <c r="A98" s="135">
        <v>9</v>
      </c>
      <c r="B98" s="149" t="s">
        <v>210</v>
      </c>
      <c r="C98" s="137" t="s">
        <v>203</v>
      </c>
      <c r="D98" s="157">
        <v>21</v>
      </c>
      <c r="E98" s="157">
        <v>21</v>
      </c>
      <c r="F98" s="752">
        <v>21</v>
      </c>
      <c r="G98" s="157">
        <v>21</v>
      </c>
      <c r="H98" s="752">
        <v>21</v>
      </c>
      <c r="I98" s="752">
        <v>21</v>
      </c>
      <c r="J98" s="526">
        <f t="shared" si="5"/>
        <v>100</v>
      </c>
      <c r="K98" s="526">
        <f t="shared" si="7"/>
        <v>100</v>
      </c>
      <c r="L98" s="526">
        <f t="shared" si="6"/>
        <v>100</v>
      </c>
      <c r="M98" s="157"/>
      <c r="N98" s="752">
        <v>21</v>
      </c>
      <c r="O98" s="363"/>
    </row>
    <row r="99" spans="1:15" ht="15.75">
      <c r="A99" s="135">
        <v>10</v>
      </c>
      <c r="B99" s="149" t="s">
        <v>211</v>
      </c>
      <c r="C99" s="137" t="s">
        <v>203</v>
      </c>
      <c r="D99" s="157">
        <v>21</v>
      </c>
      <c r="E99" s="157">
        <v>21</v>
      </c>
      <c r="F99" s="752">
        <v>21</v>
      </c>
      <c r="G99" s="157">
        <v>21</v>
      </c>
      <c r="H99" s="752">
        <v>21</v>
      </c>
      <c r="I99" s="752">
        <v>21</v>
      </c>
      <c r="J99" s="526">
        <f t="shared" si="5"/>
        <v>100</v>
      </c>
      <c r="K99" s="526">
        <f t="shared" si="7"/>
        <v>100</v>
      </c>
      <c r="L99" s="526">
        <f t="shared" si="6"/>
        <v>100</v>
      </c>
      <c r="M99" s="157"/>
      <c r="N99" s="752">
        <v>21</v>
      </c>
      <c r="O99" s="363"/>
    </row>
    <row r="100" spans="1:15" ht="15.75">
      <c r="A100" s="135">
        <v>11</v>
      </c>
      <c r="B100" s="149" t="s">
        <v>213</v>
      </c>
      <c r="C100" s="24" t="s">
        <v>23</v>
      </c>
      <c r="D100" s="163">
        <v>98.7</v>
      </c>
      <c r="E100" s="163">
        <v>98.7</v>
      </c>
      <c r="F100" s="769">
        <v>98.7</v>
      </c>
      <c r="G100" s="163">
        <v>98.7</v>
      </c>
      <c r="H100" s="769"/>
      <c r="I100" s="769">
        <v>98.7</v>
      </c>
      <c r="J100" s="526">
        <f t="shared" si="5"/>
        <v>100</v>
      </c>
      <c r="K100" s="526"/>
      <c r="L100" s="526">
        <f t="shared" si="6"/>
        <v>100</v>
      </c>
      <c r="M100" s="163"/>
      <c r="N100" s="768">
        <v>98.7</v>
      </c>
      <c r="O100" s="360"/>
    </row>
    <row r="101" spans="1:17" s="468" customFormat="1" ht="15.75">
      <c r="A101" s="602" t="s">
        <v>214</v>
      </c>
      <c r="B101" s="603" t="s">
        <v>590</v>
      </c>
      <c r="C101" s="604" t="s">
        <v>215</v>
      </c>
      <c r="D101" s="626">
        <v>71</v>
      </c>
      <c r="E101" s="626">
        <v>71</v>
      </c>
      <c r="F101" s="810">
        <v>71</v>
      </c>
      <c r="G101" s="626">
        <v>71</v>
      </c>
      <c r="H101" s="814">
        <v>71</v>
      </c>
      <c r="I101" s="814">
        <v>71</v>
      </c>
      <c r="J101" s="599">
        <f t="shared" si="5"/>
        <v>100</v>
      </c>
      <c r="K101" s="599">
        <f>F101/H101*100</f>
        <v>100</v>
      </c>
      <c r="L101" s="599">
        <f t="shared" si="6"/>
        <v>100</v>
      </c>
      <c r="M101" s="605"/>
      <c r="N101" s="809">
        <v>71</v>
      </c>
      <c r="O101" s="616"/>
      <c r="P101" s="606"/>
      <c r="Q101" s="606"/>
    </row>
    <row r="102" spans="1:17" s="468" customFormat="1" ht="15.75">
      <c r="A102" s="602">
        <v>1</v>
      </c>
      <c r="B102" s="603" t="s">
        <v>591</v>
      </c>
      <c r="C102" s="604" t="s">
        <v>215</v>
      </c>
      <c r="D102" s="626">
        <f>D105+D111</f>
        <v>70</v>
      </c>
      <c r="E102" s="626">
        <v>70</v>
      </c>
      <c r="F102" s="810">
        <v>70</v>
      </c>
      <c r="G102" s="626">
        <f>G105+G111</f>
        <v>70</v>
      </c>
      <c r="H102" s="810"/>
      <c r="I102" s="810">
        <v>70</v>
      </c>
      <c r="J102" s="599">
        <f t="shared" si="5"/>
        <v>100</v>
      </c>
      <c r="K102" s="599"/>
      <c r="L102" s="599">
        <f t="shared" si="6"/>
        <v>100</v>
      </c>
      <c r="M102" s="626"/>
      <c r="N102" s="809">
        <v>70</v>
      </c>
      <c r="O102" s="616"/>
      <c r="P102" s="606"/>
      <c r="Q102" s="606"/>
    </row>
    <row r="103" spans="1:17" ht="15.75">
      <c r="A103" s="135"/>
      <c r="B103" s="136" t="s">
        <v>592</v>
      </c>
      <c r="C103" s="135" t="s">
        <v>593</v>
      </c>
      <c r="D103" s="85">
        <f>D106+D113</f>
        <v>64</v>
      </c>
      <c r="E103" s="85">
        <f>E106+E113</f>
        <v>64</v>
      </c>
      <c r="F103" s="734">
        <f>F106+F117+F123+F130</f>
        <v>64</v>
      </c>
      <c r="G103" s="85">
        <f>G106+G113</f>
        <v>64</v>
      </c>
      <c r="H103" s="777"/>
      <c r="I103" s="777">
        <f>I106+I113</f>
        <v>65</v>
      </c>
      <c r="J103" s="526">
        <f t="shared" si="5"/>
        <v>100</v>
      </c>
      <c r="K103" s="526"/>
      <c r="L103" s="526">
        <f t="shared" si="6"/>
        <v>98.46153846153847</v>
      </c>
      <c r="M103" s="139"/>
      <c r="N103" s="778">
        <v>65</v>
      </c>
      <c r="O103" s="363"/>
      <c r="P103" s="345">
        <f>N103/N102*100</f>
        <v>92.85714285714286</v>
      </c>
      <c r="Q103" s="345">
        <f>J103/J101*100</f>
        <v>100</v>
      </c>
    </row>
    <row r="104" spans="1:17" ht="15.75">
      <c r="A104" s="135"/>
      <c r="B104" s="136" t="s">
        <v>594</v>
      </c>
      <c r="C104" s="135" t="s">
        <v>593</v>
      </c>
      <c r="D104" s="85">
        <f>D109+D114</f>
        <v>60</v>
      </c>
      <c r="E104" s="85">
        <f>E109+E114</f>
        <v>62</v>
      </c>
      <c r="F104" s="734">
        <f>F109+F114</f>
        <v>63</v>
      </c>
      <c r="G104" s="85">
        <f>G109+G114</f>
        <v>61</v>
      </c>
      <c r="H104" s="777"/>
      <c r="I104" s="777">
        <f>I109+I114</f>
        <v>64</v>
      </c>
      <c r="J104" s="526">
        <f t="shared" si="5"/>
        <v>103.27868852459017</v>
      </c>
      <c r="K104" s="526"/>
      <c r="L104" s="526">
        <f t="shared" si="6"/>
        <v>98.4375</v>
      </c>
      <c r="M104" s="139"/>
      <c r="N104" s="778">
        <v>64</v>
      </c>
      <c r="O104" s="363"/>
      <c r="Q104" s="345">
        <f>J104/J101*100</f>
        <v>103.27868852459017</v>
      </c>
    </row>
    <row r="105" spans="1:17" s="480" customFormat="1" ht="15.75">
      <c r="A105" s="594" t="s">
        <v>125</v>
      </c>
      <c r="B105" s="595" t="s">
        <v>216</v>
      </c>
      <c r="C105" s="596" t="s">
        <v>215</v>
      </c>
      <c r="D105" s="629">
        <v>26</v>
      </c>
      <c r="E105" s="629">
        <v>26</v>
      </c>
      <c r="F105" s="815">
        <v>26</v>
      </c>
      <c r="G105" s="629">
        <v>26</v>
      </c>
      <c r="H105" s="815">
        <v>26</v>
      </c>
      <c r="I105" s="815">
        <v>26</v>
      </c>
      <c r="J105" s="607">
        <f t="shared" si="5"/>
        <v>100</v>
      </c>
      <c r="K105" s="607">
        <f>F105/H105*100</f>
        <v>100</v>
      </c>
      <c r="L105" s="607">
        <f t="shared" si="6"/>
        <v>100</v>
      </c>
      <c r="M105" s="629"/>
      <c r="N105" s="816">
        <v>26</v>
      </c>
      <c r="O105" s="630">
        <v>26</v>
      </c>
      <c r="P105" s="601">
        <f>N104/N102*100</f>
        <v>91.42857142857143</v>
      </c>
      <c r="Q105" s="601"/>
    </row>
    <row r="106" spans="1:17" ht="15.75">
      <c r="A106" s="135"/>
      <c r="B106" s="140" t="s">
        <v>217</v>
      </c>
      <c r="C106" s="135" t="s">
        <v>593</v>
      </c>
      <c r="D106" s="85">
        <v>22</v>
      </c>
      <c r="E106" s="85">
        <v>22</v>
      </c>
      <c r="F106" s="734">
        <v>22</v>
      </c>
      <c r="G106" s="169">
        <v>22</v>
      </c>
      <c r="H106" s="734">
        <v>23</v>
      </c>
      <c r="I106" s="734">
        <v>23</v>
      </c>
      <c r="J106" s="526">
        <f t="shared" si="5"/>
        <v>100</v>
      </c>
      <c r="K106" s="526">
        <f>F106/H106*100</f>
        <v>95.65217391304348</v>
      </c>
      <c r="L106" s="526">
        <f t="shared" si="6"/>
        <v>95.65217391304348</v>
      </c>
      <c r="M106" s="85"/>
      <c r="N106" s="817">
        <v>23</v>
      </c>
      <c r="O106" s="386">
        <v>22</v>
      </c>
      <c r="P106" s="117"/>
      <c r="Q106" s="117"/>
    </row>
    <row r="107" spans="1:17" ht="15.75">
      <c r="A107" s="135"/>
      <c r="B107" s="140" t="s">
        <v>218</v>
      </c>
      <c r="C107" s="135" t="s">
        <v>593</v>
      </c>
      <c r="D107" s="85">
        <v>13</v>
      </c>
      <c r="E107" s="85">
        <v>12</v>
      </c>
      <c r="F107" s="734">
        <v>12</v>
      </c>
      <c r="G107" s="85">
        <v>12</v>
      </c>
      <c r="H107" s="734"/>
      <c r="I107" s="734">
        <v>13</v>
      </c>
      <c r="J107" s="526">
        <f t="shared" si="5"/>
        <v>100</v>
      </c>
      <c r="K107" s="526"/>
      <c r="L107" s="526">
        <f t="shared" si="6"/>
        <v>92.3076923076923</v>
      </c>
      <c r="M107" s="85"/>
      <c r="N107" s="817">
        <v>13</v>
      </c>
      <c r="O107" s="386"/>
      <c r="P107" s="117"/>
      <c r="Q107" s="117"/>
    </row>
    <row r="108" spans="1:17" ht="15.75">
      <c r="A108" s="135"/>
      <c r="B108" s="140" t="s">
        <v>219</v>
      </c>
      <c r="C108" s="135" t="s">
        <v>593</v>
      </c>
      <c r="D108" s="85">
        <v>9</v>
      </c>
      <c r="E108" s="85">
        <v>10</v>
      </c>
      <c r="F108" s="734">
        <v>10</v>
      </c>
      <c r="G108" s="169">
        <v>10</v>
      </c>
      <c r="H108" s="734"/>
      <c r="I108" s="734">
        <v>10</v>
      </c>
      <c r="J108" s="526">
        <f t="shared" si="5"/>
        <v>100</v>
      </c>
      <c r="K108" s="526"/>
      <c r="L108" s="526">
        <f t="shared" si="6"/>
        <v>100</v>
      </c>
      <c r="M108" s="85"/>
      <c r="N108" s="817">
        <v>10</v>
      </c>
      <c r="O108" s="386"/>
      <c r="P108" s="117"/>
      <c r="Q108" s="117"/>
    </row>
    <row r="109" spans="1:17" ht="15.75">
      <c r="A109" s="135"/>
      <c r="B109" s="136" t="s">
        <v>595</v>
      </c>
      <c r="C109" s="135" t="s">
        <v>593</v>
      </c>
      <c r="D109" s="85">
        <v>22</v>
      </c>
      <c r="E109" s="85">
        <v>22</v>
      </c>
      <c r="F109" s="734">
        <v>22</v>
      </c>
      <c r="G109" s="85">
        <v>22</v>
      </c>
      <c r="H109" s="734"/>
      <c r="I109" s="734">
        <v>23</v>
      </c>
      <c r="J109" s="526">
        <f t="shared" si="5"/>
        <v>100</v>
      </c>
      <c r="K109" s="526"/>
      <c r="L109" s="526">
        <f t="shared" si="6"/>
        <v>95.65217391304348</v>
      </c>
      <c r="M109" s="85"/>
      <c r="N109" s="817">
        <v>23</v>
      </c>
      <c r="O109" s="386"/>
      <c r="P109" s="117"/>
      <c r="Q109" s="117"/>
    </row>
    <row r="110" spans="1:17" ht="15.75">
      <c r="A110" s="135"/>
      <c r="B110" s="150" t="s">
        <v>596</v>
      </c>
      <c r="C110" s="135" t="s">
        <v>593</v>
      </c>
      <c r="D110" s="85"/>
      <c r="E110" s="85"/>
      <c r="F110" s="734">
        <v>0</v>
      </c>
      <c r="G110" s="85">
        <v>0</v>
      </c>
      <c r="H110" s="777"/>
      <c r="I110" s="777"/>
      <c r="J110" s="526"/>
      <c r="K110" s="526"/>
      <c r="L110" s="526"/>
      <c r="M110" s="139"/>
      <c r="N110" s="818"/>
      <c r="O110" s="387"/>
      <c r="P110" s="117"/>
      <c r="Q110" s="117"/>
    </row>
    <row r="111" spans="1:17" s="480" customFormat="1" ht="15.75">
      <c r="A111" s="594" t="s">
        <v>131</v>
      </c>
      <c r="B111" s="595" t="s">
        <v>220</v>
      </c>
      <c r="C111" s="596" t="s">
        <v>215</v>
      </c>
      <c r="D111" s="629">
        <f>D116+D122+D129</f>
        <v>44</v>
      </c>
      <c r="E111" s="629">
        <v>44</v>
      </c>
      <c r="F111" s="815">
        <f>F116+F122+F129</f>
        <v>44</v>
      </c>
      <c r="G111" s="629">
        <f>G116+G122+G129</f>
        <v>44</v>
      </c>
      <c r="H111" s="749">
        <v>44</v>
      </c>
      <c r="I111" s="749">
        <v>44</v>
      </c>
      <c r="J111" s="607">
        <f t="shared" si="5"/>
        <v>100</v>
      </c>
      <c r="K111" s="607">
        <f>F111/H111*100</f>
        <v>100</v>
      </c>
      <c r="L111" s="607">
        <f t="shared" si="6"/>
        <v>100</v>
      </c>
      <c r="M111" s="597"/>
      <c r="N111" s="776">
        <v>44</v>
      </c>
      <c r="O111" s="614">
        <v>44</v>
      </c>
      <c r="P111" s="601"/>
      <c r="Q111" s="601"/>
    </row>
    <row r="112" spans="1:15" ht="15.75">
      <c r="A112" s="135"/>
      <c r="B112" s="140" t="s">
        <v>221</v>
      </c>
      <c r="C112" s="137" t="s">
        <v>593</v>
      </c>
      <c r="D112" s="85">
        <v>1</v>
      </c>
      <c r="E112" s="85">
        <v>1</v>
      </c>
      <c r="F112" s="734">
        <v>1</v>
      </c>
      <c r="G112" s="85">
        <v>1</v>
      </c>
      <c r="H112" s="777"/>
      <c r="I112" s="777">
        <v>1</v>
      </c>
      <c r="J112" s="526">
        <f t="shared" si="5"/>
        <v>100</v>
      </c>
      <c r="K112" s="526"/>
      <c r="L112" s="526">
        <f t="shared" si="6"/>
        <v>100</v>
      </c>
      <c r="M112" s="139"/>
      <c r="N112" s="778">
        <v>1</v>
      </c>
      <c r="O112" s="363">
        <v>1</v>
      </c>
    </row>
    <row r="113" spans="1:15" ht="15.75">
      <c r="A113" s="135"/>
      <c r="B113" s="149" t="s">
        <v>222</v>
      </c>
      <c r="C113" s="137" t="s">
        <v>593</v>
      </c>
      <c r="D113" s="85">
        <f aca="true" t="shared" si="8" ref="D113:I113">D117+D123+D130</f>
        <v>42</v>
      </c>
      <c r="E113" s="85">
        <f t="shared" si="8"/>
        <v>42</v>
      </c>
      <c r="F113" s="734">
        <f t="shared" si="8"/>
        <v>42</v>
      </c>
      <c r="G113" s="85">
        <f t="shared" si="8"/>
        <v>42</v>
      </c>
      <c r="H113" s="777">
        <f t="shared" si="8"/>
        <v>42</v>
      </c>
      <c r="I113" s="777">
        <f t="shared" si="8"/>
        <v>42</v>
      </c>
      <c r="J113" s="526">
        <f t="shared" si="5"/>
        <v>100</v>
      </c>
      <c r="K113" s="526">
        <f>F113/H113*100</f>
        <v>100</v>
      </c>
      <c r="L113" s="526">
        <f t="shared" si="6"/>
        <v>100</v>
      </c>
      <c r="M113" s="139"/>
      <c r="N113" s="778">
        <v>42</v>
      </c>
      <c r="O113" s="363">
        <v>42</v>
      </c>
    </row>
    <row r="114" spans="1:15" ht="15.75">
      <c r="A114" s="135"/>
      <c r="B114" s="149" t="s">
        <v>223</v>
      </c>
      <c r="C114" s="137" t="s">
        <v>593</v>
      </c>
      <c r="D114" s="85">
        <f>D120+D126+D131</f>
        <v>38</v>
      </c>
      <c r="E114" s="85">
        <f>E120+E126+E131</f>
        <v>40</v>
      </c>
      <c r="F114" s="734">
        <f>F120+F126+F131</f>
        <v>41</v>
      </c>
      <c r="G114" s="85">
        <f>G120+G126+G131</f>
        <v>39</v>
      </c>
      <c r="H114" s="777"/>
      <c r="I114" s="777">
        <f>I120+I126+I131</f>
        <v>41</v>
      </c>
      <c r="J114" s="526">
        <f t="shared" si="5"/>
        <v>105.12820512820514</v>
      </c>
      <c r="K114" s="526"/>
      <c r="L114" s="526">
        <f t="shared" si="6"/>
        <v>100</v>
      </c>
      <c r="M114" s="139"/>
      <c r="N114" s="778">
        <v>41</v>
      </c>
      <c r="O114" s="363">
        <v>8</v>
      </c>
    </row>
    <row r="115" spans="1:15" ht="15.75">
      <c r="A115" s="151"/>
      <c r="B115" s="149" t="s">
        <v>224</v>
      </c>
      <c r="C115" s="137" t="s">
        <v>593</v>
      </c>
      <c r="D115" s="85"/>
      <c r="E115" s="85"/>
      <c r="F115" s="734"/>
      <c r="G115" s="85"/>
      <c r="H115" s="777">
        <v>8</v>
      </c>
      <c r="I115" s="777"/>
      <c r="J115" s="526"/>
      <c r="K115" s="526"/>
      <c r="L115" s="526"/>
      <c r="M115" s="139"/>
      <c r="N115" s="778"/>
      <c r="O115" s="363"/>
    </row>
    <row r="116" spans="1:17" s="480" customFormat="1" ht="15.75">
      <c r="A116" s="594" t="s">
        <v>574</v>
      </c>
      <c r="B116" s="595" t="s">
        <v>225</v>
      </c>
      <c r="C116" s="596" t="s">
        <v>215</v>
      </c>
      <c r="D116" s="629">
        <v>22</v>
      </c>
      <c r="E116" s="629">
        <v>22</v>
      </c>
      <c r="F116" s="815">
        <v>22</v>
      </c>
      <c r="G116" s="629">
        <v>22</v>
      </c>
      <c r="H116" s="815">
        <v>22</v>
      </c>
      <c r="I116" s="815">
        <v>22</v>
      </c>
      <c r="J116" s="607">
        <f t="shared" si="5"/>
        <v>100</v>
      </c>
      <c r="K116" s="607">
        <f>F116/H116*100</f>
        <v>100</v>
      </c>
      <c r="L116" s="607">
        <f t="shared" si="6"/>
        <v>100</v>
      </c>
      <c r="M116" s="629"/>
      <c r="N116" s="816">
        <v>22</v>
      </c>
      <c r="O116" s="630">
        <v>22</v>
      </c>
      <c r="P116" s="601"/>
      <c r="Q116" s="601"/>
    </row>
    <row r="117" spans="1:15" ht="15.75">
      <c r="A117" s="135"/>
      <c r="B117" s="140" t="s">
        <v>217</v>
      </c>
      <c r="C117" s="137" t="s">
        <v>593</v>
      </c>
      <c r="D117" s="85">
        <v>21</v>
      </c>
      <c r="E117" s="85">
        <v>21</v>
      </c>
      <c r="F117" s="734">
        <v>21</v>
      </c>
      <c r="G117" s="85">
        <v>21</v>
      </c>
      <c r="H117" s="734">
        <v>21</v>
      </c>
      <c r="I117" s="734">
        <v>21</v>
      </c>
      <c r="J117" s="526">
        <f t="shared" si="5"/>
        <v>100</v>
      </c>
      <c r="K117" s="526">
        <f>F117/H117*100</f>
        <v>100</v>
      </c>
      <c r="L117" s="526">
        <f t="shared" si="6"/>
        <v>100</v>
      </c>
      <c r="M117" s="85"/>
      <c r="N117" s="817">
        <v>21</v>
      </c>
      <c r="O117" s="375">
        <v>21</v>
      </c>
    </row>
    <row r="118" spans="1:15" ht="15.75">
      <c r="A118" s="135"/>
      <c r="B118" s="140" t="s">
        <v>218</v>
      </c>
      <c r="C118" s="137" t="s">
        <v>593</v>
      </c>
      <c r="D118" s="85">
        <v>12</v>
      </c>
      <c r="E118" s="85">
        <v>11</v>
      </c>
      <c r="F118" s="734">
        <v>11</v>
      </c>
      <c r="G118" s="85">
        <v>11</v>
      </c>
      <c r="H118" s="734"/>
      <c r="I118" s="734">
        <v>11</v>
      </c>
      <c r="J118" s="526">
        <f t="shared" si="5"/>
        <v>100</v>
      </c>
      <c r="K118" s="526"/>
      <c r="L118" s="526">
        <f t="shared" si="6"/>
        <v>100</v>
      </c>
      <c r="M118" s="85"/>
      <c r="N118" s="817">
        <v>11</v>
      </c>
      <c r="O118" s="375"/>
    </row>
    <row r="119" spans="1:15" ht="15.75">
      <c r="A119" s="135"/>
      <c r="B119" s="140" t="s">
        <v>219</v>
      </c>
      <c r="C119" s="137" t="s">
        <v>593</v>
      </c>
      <c r="D119" s="85">
        <v>9</v>
      </c>
      <c r="E119" s="85">
        <v>10</v>
      </c>
      <c r="F119" s="734">
        <v>10</v>
      </c>
      <c r="G119" s="85">
        <v>10</v>
      </c>
      <c r="H119" s="734"/>
      <c r="I119" s="734">
        <v>10</v>
      </c>
      <c r="J119" s="526">
        <f t="shared" si="5"/>
        <v>100</v>
      </c>
      <c r="K119" s="526"/>
      <c r="L119" s="526">
        <f t="shared" si="6"/>
        <v>100</v>
      </c>
      <c r="M119" s="85"/>
      <c r="N119" s="817">
        <v>10</v>
      </c>
      <c r="O119" s="375"/>
    </row>
    <row r="120" spans="1:15" ht="15.75">
      <c r="A120" s="135"/>
      <c r="B120" s="149" t="s">
        <v>223</v>
      </c>
      <c r="C120" s="137" t="s">
        <v>593</v>
      </c>
      <c r="D120" s="85">
        <v>18</v>
      </c>
      <c r="E120" s="85">
        <v>19</v>
      </c>
      <c r="F120" s="734">
        <v>20</v>
      </c>
      <c r="G120" s="85">
        <v>19</v>
      </c>
      <c r="H120" s="734"/>
      <c r="I120" s="734">
        <v>20</v>
      </c>
      <c r="J120" s="526">
        <f t="shared" si="5"/>
        <v>105.26315789473684</v>
      </c>
      <c r="K120" s="526"/>
      <c r="L120" s="526">
        <f t="shared" si="6"/>
        <v>100</v>
      </c>
      <c r="M120" s="85"/>
      <c r="N120" s="817">
        <v>20</v>
      </c>
      <c r="O120" s="375"/>
    </row>
    <row r="121" spans="1:15" ht="15.75">
      <c r="A121" s="152"/>
      <c r="B121" s="149" t="s">
        <v>226</v>
      </c>
      <c r="C121" s="137" t="s">
        <v>593</v>
      </c>
      <c r="D121" s="85">
        <v>6</v>
      </c>
      <c r="E121" s="85">
        <v>6</v>
      </c>
      <c r="F121" s="734">
        <v>6</v>
      </c>
      <c r="G121" s="85">
        <v>6</v>
      </c>
      <c r="H121" s="734">
        <v>6</v>
      </c>
      <c r="I121" s="734">
        <v>6</v>
      </c>
      <c r="J121" s="526">
        <f t="shared" si="5"/>
        <v>100</v>
      </c>
      <c r="K121" s="526">
        <f>F121/H121*100</f>
        <v>100</v>
      </c>
      <c r="L121" s="526">
        <f t="shared" si="6"/>
        <v>100</v>
      </c>
      <c r="M121" s="85"/>
      <c r="N121" s="817">
        <v>6</v>
      </c>
      <c r="O121" s="375">
        <v>6</v>
      </c>
    </row>
    <row r="122" spans="1:17" s="480" customFormat="1" ht="15.75">
      <c r="A122" s="594" t="s">
        <v>572</v>
      </c>
      <c r="B122" s="595" t="s">
        <v>227</v>
      </c>
      <c r="C122" s="596" t="s">
        <v>215</v>
      </c>
      <c r="D122" s="629">
        <v>17</v>
      </c>
      <c r="E122" s="629">
        <v>17</v>
      </c>
      <c r="F122" s="815">
        <v>17</v>
      </c>
      <c r="G122" s="629">
        <v>17</v>
      </c>
      <c r="H122" s="815">
        <v>17</v>
      </c>
      <c r="I122" s="815">
        <v>17</v>
      </c>
      <c r="J122" s="607">
        <f t="shared" si="5"/>
        <v>100</v>
      </c>
      <c r="K122" s="607">
        <f>F122/H122*100</f>
        <v>100</v>
      </c>
      <c r="L122" s="607">
        <f t="shared" si="6"/>
        <v>100</v>
      </c>
      <c r="M122" s="629"/>
      <c r="N122" s="816">
        <v>17</v>
      </c>
      <c r="O122" s="630">
        <v>17</v>
      </c>
      <c r="P122" s="601"/>
      <c r="Q122" s="601"/>
    </row>
    <row r="123" spans="1:15" ht="15.75">
      <c r="A123" s="135"/>
      <c r="B123" s="140" t="s">
        <v>217</v>
      </c>
      <c r="C123" s="137" t="s">
        <v>593</v>
      </c>
      <c r="D123" s="85">
        <v>16</v>
      </c>
      <c r="E123" s="85">
        <v>16</v>
      </c>
      <c r="F123" s="734">
        <v>16</v>
      </c>
      <c r="G123" s="169">
        <v>16</v>
      </c>
      <c r="H123" s="734">
        <v>16</v>
      </c>
      <c r="I123" s="734">
        <v>16</v>
      </c>
      <c r="J123" s="526">
        <f t="shared" si="5"/>
        <v>100</v>
      </c>
      <c r="K123" s="526">
        <f>F123/H123*100</f>
        <v>100</v>
      </c>
      <c r="L123" s="526">
        <f t="shared" si="6"/>
        <v>100</v>
      </c>
      <c r="M123" s="85"/>
      <c r="N123" s="734">
        <v>16</v>
      </c>
      <c r="O123" s="375">
        <v>16</v>
      </c>
    </row>
    <row r="124" spans="1:15" ht="15.75">
      <c r="A124" s="135"/>
      <c r="B124" s="140" t="s">
        <v>218</v>
      </c>
      <c r="C124" s="137" t="s">
        <v>593</v>
      </c>
      <c r="D124" s="85">
        <v>8</v>
      </c>
      <c r="E124" s="85">
        <v>6</v>
      </c>
      <c r="F124" s="734">
        <v>8</v>
      </c>
      <c r="G124" s="85">
        <v>8</v>
      </c>
      <c r="H124" s="819"/>
      <c r="I124" s="819">
        <v>6</v>
      </c>
      <c r="J124" s="526">
        <f t="shared" si="5"/>
        <v>100</v>
      </c>
      <c r="K124" s="526"/>
      <c r="L124" s="526">
        <f t="shared" si="6"/>
        <v>133.33333333333331</v>
      </c>
      <c r="M124" s="94"/>
      <c r="N124" s="734">
        <v>6</v>
      </c>
      <c r="O124" s="375"/>
    </row>
    <row r="125" spans="1:15" ht="15.75">
      <c r="A125" s="135"/>
      <c r="B125" s="140" t="s">
        <v>219</v>
      </c>
      <c r="C125" s="137" t="s">
        <v>593</v>
      </c>
      <c r="D125" s="85">
        <v>8</v>
      </c>
      <c r="E125" s="85">
        <v>10</v>
      </c>
      <c r="F125" s="734">
        <v>8</v>
      </c>
      <c r="G125" s="85">
        <v>8</v>
      </c>
      <c r="H125" s="819"/>
      <c r="I125" s="819">
        <v>10</v>
      </c>
      <c r="J125" s="526">
        <f t="shared" si="5"/>
        <v>100</v>
      </c>
      <c r="K125" s="526"/>
      <c r="L125" s="526">
        <f t="shared" si="6"/>
        <v>80</v>
      </c>
      <c r="M125" s="94"/>
      <c r="N125" s="734">
        <v>10</v>
      </c>
      <c r="O125" s="375"/>
    </row>
    <row r="126" spans="1:15" ht="15.75">
      <c r="A126" s="135"/>
      <c r="B126" s="149" t="s">
        <v>223</v>
      </c>
      <c r="C126" s="137" t="s">
        <v>593</v>
      </c>
      <c r="D126" s="85">
        <v>15</v>
      </c>
      <c r="E126" s="85">
        <v>16</v>
      </c>
      <c r="F126" s="734">
        <v>16</v>
      </c>
      <c r="G126" s="85">
        <v>15</v>
      </c>
      <c r="H126" s="734"/>
      <c r="I126" s="734">
        <v>16</v>
      </c>
      <c r="J126" s="526">
        <f t="shared" si="5"/>
        <v>106.66666666666667</v>
      </c>
      <c r="K126" s="526"/>
      <c r="L126" s="526">
        <f t="shared" si="6"/>
        <v>100</v>
      </c>
      <c r="M126" s="85"/>
      <c r="N126" s="734">
        <v>16</v>
      </c>
      <c r="O126" s="375"/>
    </row>
    <row r="127" spans="1:15" ht="15.75">
      <c r="A127" s="135"/>
      <c r="B127" s="149" t="s">
        <v>228</v>
      </c>
      <c r="C127" s="137" t="s">
        <v>593</v>
      </c>
      <c r="D127" s="85">
        <v>2</v>
      </c>
      <c r="E127" s="85">
        <v>2</v>
      </c>
      <c r="F127" s="734">
        <v>2</v>
      </c>
      <c r="G127" s="85">
        <v>2</v>
      </c>
      <c r="H127" s="734">
        <v>2</v>
      </c>
      <c r="I127" s="734">
        <v>2</v>
      </c>
      <c r="J127" s="526">
        <f t="shared" si="5"/>
        <v>100</v>
      </c>
      <c r="K127" s="526">
        <f>F127/H127*100</f>
        <v>100</v>
      </c>
      <c r="L127" s="526">
        <f t="shared" si="6"/>
        <v>100</v>
      </c>
      <c r="M127" s="85"/>
      <c r="N127" s="734">
        <v>2</v>
      </c>
      <c r="O127" s="375">
        <v>2</v>
      </c>
    </row>
    <row r="128" spans="1:15" ht="15.75">
      <c r="A128" s="135"/>
      <c r="B128" s="149" t="s">
        <v>229</v>
      </c>
      <c r="C128" s="137" t="s">
        <v>593</v>
      </c>
      <c r="D128" s="85"/>
      <c r="E128" s="85"/>
      <c r="F128" s="734"/>
      <c r="G128" s="85"/>
      <c r="H128" s="806"/>
      <c r="I128" s="806"/>
      <c r="J128" s="526"/>
      <c r="K128" s="526"/>
      <c r="L128" s="526"/>
      <c r="M128" s="138"/>
      <c r="N128" s="778"/>
      <c r="O128" s="363"/>
    </row>
    <row r="129" spans="1:17" s="60" customFormat="1" ht="15.75">
      <c r="A129" s="132" t="s">
        <v>573</v>
      </c>
      <c r="B129" s="133" t="s">
        <v>230</v>
      </c>
      <c r="C129" s="134" t="s">
        <v>215</v>
      </c>
      <c r="D129" s="161">
        <v>5</v>
      </c>
      <c r="E129" s="161">
        <v>5</v>
      </c>
      <c r="F129" s="773">
        <v>5</v>
      </c>
      <c r="G129" s="161">
        <v>5</v>
      </c>
      <c r="H129" s="773">
        <v>5</v>
      </c>
      <c r="I129" s="773">
        <v>5</v>
      </c>
      <c r="J129" s="526">
        <f t="shared" si="5"/>
        <v>100</v>
      </c>
      <c r="K129" s="526">
        <f>F129/H129*100</f>
        <v>100</v>
      </c>
      <c r="L129" s="526">
        <f t="shared" si="6"/>
        <v>100</v>
      </c>
      <c r="M129" s="161"/>
      <c r="N129" s="762">
        <v>5</v>
      </c>
      <c r="O129" s="385">
        <v>5</v>
      </c>
      <c r="P129" s="197"/>
      <c r="Q129" s="197"/>
    </row>
    <row r="130" spans="1:15" ht="15.75">
      <c r="A130" s="135"/>
      <c r="B130" s="140" t="s">
        <v>231</v>
      </c>
      <c r="C130" s="137" t="s">
        <v>593</v>
      </c>
      <c r="D130" s="157">
        <v>5</v>
      </c>
      <c r="E130" s="157">
        <v>5</v>
      </c>
      <c r="F130" s="752">
        <v>5</v>
      </c>
      <c r="G130" s="157">
        <v>5</v>
      </c>
      <c r="H130" s="752">
        <v>5</v>
      </c>
      <c r="I130" s="752">
        <v>5</v>
      </c>
      <c r="J130" s="526">
        <f t="shared" si="5"/>
        <v>100</v>
      </c>
      <c r="K130" s="526">
        <f>F130/H130*100</f>
        <v>100</v>
      </c>
      <c r="L130" s="526">
        <f t="shared" si="6"/>
        <v>100</v>
      </c>
      <c r="M130" s="157"/>
      <c r="N130" s="778">
        <v>5</v>
      </c>
      <c r="O130" s="363">
        <v>5</v>
      </c>
    </row>
    <row r="131" spans="1:15" ht="15.75">
      <c r="A131" s="135"/>
      <c r="B131" s="149" t="s">
        <v>223</v>
      </c>
      <c r="C131" s="137" t="s">
        <v>593</v>
      </c>
      <c r="D131" s="157">
        <v>5</v>
      </c>
      <c r="E131" s="157">
        <v>5</v>
      </c>
      <c r="F131" s="752">
        <v>5</v>
      </c>
      <c r="G131" s="157">
        <v>5</v>
      </c>
      <c r="H131" s="752"/>
      <c r="I131" s="752">
        <v>5</v>
      </c>
      <c r="J131" s="526">
        <f t="shared" si="5"/>
        <v>100</v>
      </c>
      <c r="K131" s="526"/>
      <c r="L131" s="526">
        <f t="shared" si="6"/>
        <v>100</v>
      </c>
      <c r="M131" s="157"/>
      <c r="N131" s="778">
        <v>5</v>
      </c>
      <c r="O131" s="363"/>
    </row>
    <row r="132" spans="1:15" ht="15.75">
      <c r="A132" s="135"/>
      <c r="B132" s="140" t="s">
        <v>232</v>
      </c>
      <c r="C132" s="137" t="s">
        <v>593</v>
      </c>
      <c r="D132" s="157">
        <v>1</v>
      </c>
      <c r="E132" s="157">
        <v>1</v>
      </c>
      <c r="F132" s="752">
        <v>1</v>
      </c>
      <c r="G132" s="157">
        <v>1</v>
      </c>
      <c r="H132" s="752"/>
      <c r="I132" s="752">
        <v>1</v>
      </c>
      <c r="J132" s="526">
        <f t="shared" si="5"/>
        <v>100</v>
      </c>
      <c r="K132" s="526"/>
      <c r="L132" s="526">
        <f t="shared" si="6"/>
        <v>100</v>
      </c>
      <c r="M132" s="157"/>
      <c r="N132" s="778">
        <v>1</v>
      </c>
      <c r="O132" s="363"/>
    </row>
    <row r="133" spans="1:17" s="468" customFormat="1" ht="15.75">
      <c r="A133" s="602">
        <v>2</v>
      </c>
      <c r="B133" s="631" t="s">
        <v>597</v>
      </c>
      <c r="C133" s="604" t="s">
        <v>233</v>
      </c>
      <c r="D133" s="615">
        <v>1</v>
      </c>
      <c r="E133" s="615">
        <v>1</v>
      </c>
      <c r="F133" s="811">
        <v>1</v>
      </c>
      <c r="G133" s="615">
        <v>1</v>
      </c>
      <c r="H133" s="811">
        <v>1</v>
      </c>
      <c r="I133" s="811">
        <v>1</v>
      </c>
      <c r="J133" s="599">
        <f t="shared" si="5"/>
        <v>100</v>
      </c>
      <c r="K133" s="599">
        <f>F133/H133*100</f>
        <v>100</v>
      </c>
      <c r="L133" s="599">
        <f t="shared" si="6"/>
        <v>100</v>
      </c>
      <c r="M133" s="615"/>
      <c r="N133" s="809">
        <v>1</v>
      </c>
      <c r="O133" s="616">
        <v>1</v>
      </c>
      <c r="P133" s="606"/>
      <c r="Q133" s="606"/>
    </row>
    <row r="134" spans="1:17" s="635" customFormat="1" ht="15.75">
      <c r="A134" s="602">
        <v>3</v>
      </c>
      <c r="B134" s="632" t="s">
        <v>635</v>
      </c>
      <c r="C134" s="633" t="s">
        <v>23</v>
      </c>
      <c r="D134" s="615"/>
      <c r="E134" s="615"/>
      <c r="F134" s="811"/>
      <c r="G134" s="615"/>
      <c r="H134" s="812"/>
      <c r="I134" s="812"/>
      <c r="J134" s="599"/>
      <c r="K134" s="599"/>
      <c r="L134" s="599"/>
      <c r="M134" s="599"/>
      <c r="N134" s="809"/>
      <c r="O134" s="616"/>
      <c r="P134" s="634"/>
      <c r="Q134" s="634"/>
    </row>
    <row r="135" spans="1:15" ht="15.75">
      <c r="A135" s="135" t="s">
        <v>620</v>
      </c>
      <c r="B135" s="101" t="s">
        <v>636</v>
      </c>
      <c r="C135" s="106" t="s">
        <v>23</v>
      </c>
      <c r="D135" s="163">
        <v>77.4</v>
      </c>
      <c r="E135" s="163">
        <v>77.4</v>
      </c>
      <c r="F135" s="769">
        <v>77.8</v>
      </c>
      <c r="G135" s="163">
        <v>77.4</v>
      </c>
      <c r="H135" s="769"/>
      <c r="I135" s="769">
        <v>77.5</v>
      </c>
      <c r="J135" s="526">
        <f t="shared" si="5"/>
        <v>100.51679586563307</v>
      </c>
      <c r="K135" s="526"/>
      <c r="L135" s="526">
        <f t="shared" si="6"/>
        <v>100.38709677419355</v>
      </c>
      <c r="M135" s="163"/>
      <c r="N135" s="769">
        <v>77.8</v>
      </c>
      <c r="O135" s="360"/>
    </row>
    <row r="136" spans="1:15" ht="15.75">
      <c r="A136" s="135" t="s">
        <v>622</v>
      </c>
      <c r="B136" s="101" t="s">
        <v>159</v>
      </c>
      <c r="C136" s="106" t="s">
        <v>23</v>
      </c>
      <c r="D136" s="163">
        <v>74</v>
      </c>
      <c r="E136" s="163">
        <v>75.9</v>
      </c>
      <c r="F136" s="769"/>
      <c r="G136" s="163">
        <f>288/389*100</f>
        <v>74.03598971722364</v>
      </c>
      <c r="H136" s="769"/>
      <c r="I136" s="769">
        <v>76.5</v>
      </c>
      <c r="J136" s="526">
        <f t="shared" si="5"/>
        <v>0</v>
      </c>
      <c r="K136" s="526"/>
      <c r="L136" s="526">
        <f t="shared" si="6"/>
        <v>0</v>
      </c>
      <c r="M136" s="163"/>
      <c r="N136" s="768">
        <v>76.5</v>
      </c>
      <c r="O136" s="360"/>
    </row>
    <row r="137" spans="1:17" s="43" customFormat="1" ht="15.75">
      <c r="A137" s="135" t="s">
        <v>623</v>
      </c>
      <c r="B137" s="101" t="s">
        <v>637</v>
      </c>
      <c r="C137" s="106" t="s">
        <v>23</v>
      </c>
      <c r="D137" s="163">
        <v>86.6</v>
      </c>
      <c r="E137" s="163">
        <v>87.7</v>
      </c>
      <c r="F137" s="769">
        <v>89.3</v>
      </c>
      <c r="G137" s="163">
        <f>163/184*100</f>
        <v>88.58695652173914</v>
      </c>
      <c r="H137" s="769"/>
      <c r="I137" s="769">
        <v>87.7</v>
      </c>
      <c r="J137" s="526">
        <f t="shared" si="5"/>
        <v>100.80490797546011</v>
      </c>
      <c r="K137" s="526"/>
      <c r="L137" s="526">
        <f t="shared" si="6"/>
        <v>101.82440136830103</v>
      </c>
      <c r="M137" s="163"/>
      <c r="N137" s="769">
        <v>87.7</v>
      </c>
      <c r="O137" s="360"/>
      <c r="P137" s="346"/>
      <c r="Q137" s="346"/>
    </row>
    <row r="138" spans="1:17" s="43" customFormat="1" ht="15.75">
      <c r="A138" s="135" t="s">
        <v>638</v>
      </c>
      <c r="B138" s="101" t="s">
        <v>177</v>
      </c>
      <c r="C138" s="106" t="s">
        <v>23</v>
      </c>
      <c r="D138" s="163">
        <v>100</v>
      </c>
      <c r="E138" s="157">
        <v>100</v>
      </c>
      <c r="F138" s="752">
        <v>100</v>
      </c>
      <c r="G138" s="163">
        <v>100</v>
      </c>
      <c r="H138" s="752"/>
      <c r="I138" s="752">
        <v>100</v>
      </c>
      <c r="J138" s="526">
        <f t="shared" si="5"/>
        <v>100</v>
      </c>
      <c r="K138" s="526"/>
      <c r="L138" s="526">
        <f t="shared" si="6"/>
        <v>100</v>
      </c>
      <c r="M138" s="157"/>
      <c r="N138" s="768">
        <v>100</v>
      </c>
      <c r="O138" s="360"/>
      <c r="P138" s="346"/>
      <c r="Q138" s="346"/>
    </row>
    <row r="139" spans="1:15" ht="19.5" customHeight="1">
      <c r="A139" s="127" t="s">
        <v>234</v>
      </c>
      <c r="B139" s="128" t="s">
        <v>235</v>
      </c>
      <c r="C139" s="129"/>
      <c r="D139" s="170"/>
      <c r="E139" s="170"/>
      <c r="F139" s="820"/>
      <c r="G139" s="170"/>
      <c r="H139" s="774"/>
      <c r="I139" s="774"/>
      <c r="J139" s="526"/>
      <c r="K139" s="526"/>
      <c r="L139" s="526"/>
      <c r="M139" s="130"/>
      <c r="N139" s="747"/>
      <c r="O139" s="353"/>
    </row>
    <row r="140" spans="1:17" s="57" customFormat="1" ht="30">
      <c r="A140" s="141"/>
      <c r="B140" s="142" t="s">
        <v>236</v>
      </c>
      <c r="C140" s="143"/>
      <c r="D140" s="171">
        <v>27</v>
      </c>
      <c r="E140" s="171">
        <v>27</v>
      </c>
      <c r="F140" s="773">
        <v>27</v>
      </c>
      <c r="G140" s="171">
        <v>27</v>
      </c>
      <c r="H140" s="821"/>
      <c r="I140" s="821">
        <v>27</v>
      </c>
      <c r="J140" s="526">
        <f t="shared" si="5"/>
        <v>100</v>
      </c>
      <c r="K140" s="526"/>
      <c r="L140" s="526">
        <f t="shared" si="6"/>
        <v>100</v>
      </c>
      <c r="M140" s="171"/>
      <c r="N140" s="762">
        <v>27</v>
      </c>
      <c r="O140" s="404"/>
      <c r="P140" s="121"/>
      <c r="Q140" s="121"/>
    </row>
    <row r="141" spans="1:15" ht="15.75">
      <c r="A141" s="135"/>
      <c r="B141" s="140" t="s">
        <v>237</v>
      </c>
      <c r="C141" s="137"/>
      <c r="D141" s="157">
        <v>22</v>
      </c>
      <c r="E141" s="157">
        <v>22</v>
      </c>
      <c r="F141" s="752">
        <v>22</v>
      </c>
      <c r="G141" s="157">
        <v>22</v>
      </c>
      <c r="H141" s="752"/>
      <c r="I141" s="752">
        <v>22</v>
      </c>
      <c r="J141" s="526">
        <f t="shared" si="5"/>
        <v>100</v>
      </c>
      <c r="K141" s="526"/>
      <c r="L141" s="526">
        <f t="shared" si="6"/>
        <v>100</v>
      </c>
      <c r="M141" s="157"/>
      <c r="N141" s="778">
        <v>22</v>
      </c>
      <c r="O141" s="363"/>
    </row>
    <row r="142" spans="1:15" ht="15.75">
      <c r="A142" s="135"/>
      <c r="B142" s="140" t="s">
        <v>238</v>
      </c>
      <c r="C142" s="137"/>
      <c r="D142" s="157">
        <v>5</v>
      </c>
      <c r="E142" s="157">
        <v>5</v>
      </c>
      <c r="F142" s="752">
        <v>5</v>
      </c>
      <c r="G142" s="157">
        <v>5</v>
      </c>
      <c r="H142" s="752"/>
      <c r="I142" s="752">
        <v>5</v>
      </c>
      <c r="J142" s="526">
        <f t="shared" si="5"/>
        <v>100</v>
      </c>
      <c r="K142" s="526"/>
      <c r="L142" s="526">
        <f t="shared" si="6"/>
        <v>100</v>
      </c>
      <c r="M142" s="157"/>
      <c r="N142" s="778">
        <v>5</v>
      </c>
      <c r="O142" s="363"/>
    </row>
    <row r="143" spans="1:15" ht="33" customHeight="1">
      <c r="A143" s="127" t="s">
        <v>239</v>
      </c>
      <c r="B143" s="154" t="s">
        <v>250</v>
      </c>
      <c r="C143" s="129"/>
      <c r="D143" s="45"/>
      <c r="E143" s="45"/>
      <c r="F143" s="822"/>
      <c r="G143" s="45"/>
      <c r="H143" s="774"/>
      <c r="I143" s="774"/>
      <c r="J143" s="526"/>
      <c r="K143" s="526"/>
      <c r="L143" s="526"/>
      <c r="M143" s="130"/>
      <c r="N143" s="778"/>
      <c r="O143" s="363"/>
    </row>
    <row r="144" spans="1:15" ht="15.75">
      <c r="A144" s="135">
        <v>1</v>
      </c>
      <c r="B144" s="136" t="s">
        <v>251</v>
      </c>
      <c r="C144" s="137" t="s">
        <v>23</v>
      </c>
      <c r="D144" s="45">
        <v>99.8</v>
      </c>
      <c r="E144" s="45">
        <v>99.8</v>
      </c>
      <c r="F144" s="822">
        <v>99.8</v>
      </c>
      <c r="G144" s="45">
        <v>99.8</v>
      </c>
      <c r="H144" s="792">
        <v>99.8</v>
      </c>
      <c r="I144" s="792">
        <v>99.8</v>
      </c>
      <c r="J144" s="526">
        <f aca="true" t="shared" si="9" ref="J144:J155">F144/G144*100</f>
        <v>100</v>
      </c>
      <c r="K144" s="526">
        <f aca="true" t="shared" si="10" ref="K144:K155">F144/H144*100</f>
        <v>100</v>
      </c>
      <c r="L144" s="526">
        <f aca="true" t="shared" si="11" ref="L144:L155">F144/I144*100</f>
        <v>100</v>
      </c>
      <c r="M144" s="207"/>
      <c r="N144" s="823">
        <v>99.8</v>
      </c>
      <c r="O144" s="376">
        <v>99.8</v>
      </c>
    </row>
    <row r="145" spans="1:15" ht="15.75">
      <c r="A145" s="135">
        <v>2</v>
      </c>
      <c r="B145" s="136" t="s">
        <v>252</v>
      </c>
      <c r="C145" s="137" t="s">
        <v>23</v>
      </c>
      <c r="D145" s="87">
        <v>99.8</v>
      </c>
      <c r="E145" s="87">
        <v>99.8</v>
      </c>
      <c r="F145" s="801">
        <v>99.8</v>
      </c>
      <c r="G145" s="87">
        <v>99.8</v>
      </c>
      <c r="H145" s="792">
        <v>99.8</v>
      </c>
      <c r="I145" s="792">
        <v>99.8</v>
      </c>
      <c r="J145" s="526">
        <f t="shared" si="9"/>
        <v>100</v>
      </c>
      <c r="K145" s="526">
        <f t="shared" si="10"/>
        <v>100</v>
      </c>
      <c r="L145" s="526">
        <f t="shared" si="11"/>
        <v>100</v>
      </c>
      <c r="M145" s="207"/>
      <c r="N145" s="803">
        <v>99.8</v>
      </c>
      <c r="O145" s="371">
        <v>99.8</v>
      </c>
    </row>
    <row r="146" spans="1:15" ht="30">
      <c r="A146" s="135">
        <v>3</v>
      </c>
      <c r="B146" s="136" t="s">
        <v>253</v>
      </c>
      <c r="C146" s="137" t="s">
        <v>23</v>
      </c>
      <c r="D146" s="87">
        <v>98.7</v>
      </c>
      <c r="E146" s="87">
        <v>98.7</v>
      </c>
      <c r="F146" s="801">
        <v>98.7</v>
      </c>
      <c r="G146" s="87">
        <v>98.7</v>
      </c>
      <c r="H146" s="792">
        <v>98.7</v>
      </c>
      <c r="I146" s="792">
        <v>98.7</v>
      </c>
      <c r="J146" s="526">
        <f t="shared" si="9"/>
        <v>100</v>
      </c>
      <c r="K146" s="526">
        <f t="shared" si="10"/>
        <v>100</v>
      </c>
      <c r="L146" s="526">
        <f t="shared" si="11"/>
        <v>100</v>
      </c>
      <c r="M146" s="207"/>
      <c r="N146" s="803">
        <v>98.7</v>
      </c>
      <c r="O146" s="371">
        <v>98.7</v>
      </c>
    </row>
    <row r="147" spans="1:15" ht="15.75" customHeight="1">
      <c r="A147" s="135">
        <v>4</v>
      </c>
      <c r="B147" s="136" t="s">
        <v>254</v>
      </c>
      <c r="C147" s="137" t="s">
        <v>23</v>
      </c>
      <c r="D147" s="87">
        <v>98</v>
      </c>
      <c r="E147" s="87">
        <v>98.3</v>
      </c>
      <c r="F147" s="801">
        <v>98.3</v>
      </c>
      <c r="G147" s="87">
        <v>98.2</v>
      </c>
      <c r="H147" s="792">
        <v>98.3</v>
      </c>
      <c r="I147" s="792">
        <v>98.3</v>
      </c>
      <c r="J147" s="526">
        <f t="shared" si="9"/>
        <v>100.10183299389001</v>
      </c>
      <c r="K147" s="526">
        <f t="shared" si="10"/>
        <v>100</v>
      </c>
      <c r="L147" s="526">
        <f t="shared" si="11"/>
        <v>100</v>
      </c>
      <c r="M147" s="207"/>
      <c r="N147" s="803">
        <v>98.3</v>
      </c>
      <c r="O147" s="371">
        <v>98.3</v>
      </c>
    </row>
    <row r="148" spans="1:15" ht="30">
      <c r="A148" s="135">
        <v>5</v>
      </c>
      <c r="B148" s="136" t="s">
        <v>255</v>
      </c>
      <c r="C148" s="137" t="s">
        <v>23</v>
      </c>
      <c r="D148" s="87">
        <v>46.4</v>
      </c>
      <c r="E148" s="87">
        <v>46.6</v>
      </c>
      <c r="F148" s="801">
        <v>46.6</v>
      </c>
      <c r="G148" s="87">
        <v>46.6</v>
      </c>
      <c r="H148" s="792">
        <v>46.6</v>
      </c>
      <c r="I148" s="792">
        <v>46.6</v>
      </c>
      <c r="J148" s="526">
        <f t="shared" si="9"/>
        <v>100</v>
      </c>
      <c r="K148" s="526">
        <f t="shared" si="10"/>
        <v>100</v>
      </c>
      <c r="L148" s="526">
        <f t="shared" si="11"/>
        <v>100</v>
      </c>
      <c r="M148" s="207"/>
      <c r="N148" s="803">
        <v>46.6</v>
      </c>
      <c r="O148" s="371">
        <v>46.6</v>
      </c>
    </row>
    <row r="149" spans="1:15" ht="28.5">
      <c r="A149" s="155" t="s">
        <v>249</v>
      </c>
      <c r="B149" s="84" t="s">
        <v>240</v>
      </c>
      <c r="C149" s="153"/>
      <c r="D149" s="167"/>
      <c r="E149" s="167"/>
      <c r="F149" s="797"/>
      <c r="G149" s="167"/>
      <c r="H149" s="774"/>
      <c r="I149" s="774"/>
      <c r="J149" s="526"/>
      <c r="K149" s="526"/>
      <c r="L149" s="526"/>
      <c r="M149" s="130"/>
      <c r="N149" s="747"/>
      <c r="O149" s="353"/>
    </row>
    <row r="150" spans="1:15" ht="30">
      <c r="A150" s="135">
        <v>1</v>
      </c>
      <c r="B150" s="136" t="s">
        <v>241</v>
      </c>
      <c r="C150" s="137" t="s">
        <v>242</v>
      </c>
      <c r="D150" s="167">
        <v>675</v>
      </c>
      <c r="E150" s="44">
        <v>676</v>
      </c>
      <c r="F150" s="807">
        <v>674</v>
      </c>
      <c r="G150" s="45">
        <v>688</v>
      </c>
      <c r="H150" s="807">
        <v>670</v>
      </c>
      <c r="I150" s="807">
        <v>670</v>
      </c>
      <c r="J150" s="526">
        <f t="shared" si="9"/>
        <v>97.96511627906976</v>
      </c>
      <c r="K150" s="526">
        <f t="shared" si="10"/>
        <v>100.59701492537314</v>
      </c>
      <c r="L150" s="526">
        <f t="shared" si="11"/>
        <v>100.59701492537314</v>
      </c>
      <c r="M150" s="44"/>
      <c r="N150" s="817">
        <v>670</v>
      </c>
      <c r="O150" s="375">
        <v>689</v>
      </c>
    </row>
    <row r="151" spans="1:15" ht="15.75">
      <c r="A151" s="135">
        <v>2</v>
      </c>
      <c r="B151" s="136" t="s">
        <v>243</v>
      </c>
      <c r="C151" s="137" t="s">
        <v>242</v>
      </c>
      <c r="D151" s="167">
        <v>42</v>
      </c>
      <c r="E151" s="85">
        <v>42</v>
      </c>
      <c r="F151" s="734">
        <v>42</v>
      </c>
      <c r="G151" s="87">
        <v>42</v>
      </c>
      <c r="H151" s="734">
        <v>48</v>
      </c>
      <c r="I151" s="734">
        <v>48</v>
      </c>
      <c r="J151" s="526">
        <f t="shared" si="9"/>
        <v>100</v>
      </c>
      <c r="K151" s="526">
        <f t="shared" si="10"/>
        <v>87.5</v>
      </c>
      <c r="L151" s="526">
        <f t="shared" si="11"/>
        <v>87.5</v>
      </c>
      <c r="M151" s="85"/>
      <c r="N151" s="817">
        <v>48</v>
      </c>
      <c r="O151" s="375">
        <v>48</v>
      </c>
    </row>
    <row r="152" spans="1:15" ht="25.5">
      <c r="A152" s="135">
        <v>3</v>
      </c>
      <c r="B152" s="136" t="s">
        <v>244</v>
      </c>
      <c r="C152" s="137" t="s">
        <v>245</v>
      </c>
      <c r="D152" s="167">
        <v>91</v>
      </c>
      <c r="E152" s="85">
        <v>87</v>
      </c>
      <c r="F152" s="734">
        <v>87</v>
      </c>
      <c r="G152" s="87">
        <v>91</v>
      </c>
      <c r="H152" s="734">
        <v>87</v>
      </c>
      <c r="I152" s="734">
        <v>87</v>
      </c>
      <c r="J152" s="526">
        <f t="shared" si="9"/>
        <v>95.6043956043956</v>
      </c>
      <c r="K152" s="526">
        <f t="shared" si="10"/>
        <v>100</v>
      </c>
      <c r="L152" s="526">
        <f t="shared" si="11"/>
        <v>100</v>
      </c>
      <c r="M152" s="85"/>
      <c r="N152" s="817">
        <v>87</v>
      </c>
      <c r="O152" s="375">
        <v>90</v>
      </c>
    </row>
    <row r="153" spans="1:15" ht="30">
      <c r="A153" s="135">
        <v>4</v>
      </c>
      <c r="B153" s="136" t="s">
        <v>246</v>
      </c>
      <c r="C153" s="137" t="s">
        <v>245</v>
      </c>
      <c r="D153" s="167">
        <v>91</v>
      </c>
      <c r="E153" s="85">
        <v>87</v>
      </c>
      <c r="F153" s="734">
        <v>87</v>
      </c>
      <c r="G153" s="87">
        <v>91</v>
      </c>
      <c r="H153" s="734">
        <v>87</v>
      </c>
      <c r="I153" s="734">
        <v>87</v>
      </c>
      <c r="J153" s="526">
        <f t="shared" si="9"/>
        <v>95.6043956043956</v>
      </c>
      <c r="K153" s="526">
        <f t="shared" si="10"/>
        <v>100</v>
      </c>
      <c r="L153" s="526">
        <f t="shared" si="11"/>
        <v>100</v>
      </c>
      <c r="M153" s="85"/>
      <c r="N153" s="817">
        <v>87</v>
      </c>
      <c r="O153" s="375">
        <v>90</v>
      </c>
    </row>
    <row r="154" spans="1:15" ht="30">
      <c r="A154" s="135">
        <v>5</v>
      </c>
      <c r="B154" s="136" t="s">
        <v>247</v>
      </c>
      <c r="C154" s="137" t="s">
        <v>245</v>
      </c>
      <c r="D154" s="167">
        <v>305</v>
      </c>
      <c r="E154" s="85">
        <v>303</v>
      </c>
      <c r="F154" s="734">
        <v>303</v>
      </c>
      <c r="G154" s="87">
        <v>305</v>
      </c>
      <c r="H154" s="734">
        <v>298</v>
      </c>
      <c r="I154" s="734">
        <v>298</v>
      </c>
      <c r="J154" s="526">
        <f t="shared" si="9"/>
        <v>99.34426229508196</v>
      </c>
      <c r="K154" s="526">
        <f t="shared" si="10"/>
        <v>101.6778523489933</v>
      </c>
      <c r="L154" s="526">
        <f t="shared" si="11"/>
        <v>101.6778523489933</v>
      </c>
      <c r="M154" s="85"/>
      <c r="N154" s="817">
        <v>298</v>
      </c>
      <c r="O154" s="375">
        <v>302</v>
      </c>
    </row>
    <row r="155" spans="1:15" ht="30">
      <c r="A155" s="135">
        <v>6</v>
      </c>
      <c r="B155" s="136" t="s">
        <v>248</v>
      </c>
      <c r="C155" s="137" t="s">
        <v>245</v>
      </c>
      <c r="D155" s="167">
        <v>91</v>
      </c>
      <c r="E155" s="167">
        <v>87</v>
      </c>
      <c r="F155" s="797">
        <v>87</v>
      </c>
      <c r="G155" s="167">
        <v>91</v>
      </c>
      <c r="H155" s="797">
        <v>87</v>
      </c>
      <c r="I155" s="797">
        <v>87</v>
      </c>
      <c r="J155" s="526">
        <f t="shared" si="9"/>
        <v>95.6043956043956</v>
      </c>
      <c r="K155" s="526">
        <f t="shared" si="10"/>
        <v>100</v>
      </c>
      <c r="L155" s="526">
        <f t="shared" si="11"/>
        <v>100</v>
      </c>
      <c r="M155" s="167"/>
      <c r="N155" s="817">
        <v>87</v>
      </c>
      <c r="O155" s="375">
        <v>90</v>
      </c>
    </row>
  </sheetData>
  <sheetProtection/>
  <mergeCells count="20">
    <mergeCell ref="L1:N1"/>
    <mergeCell ref="N5:N8"/>
    <mergeCell ref="A2:N2"/>
    <mergeCell ref="A3:N3"/>
    <mergeCell ref="K4:M4"/>
    <mergeCell ref="I7:I8"/>
    <mergeCell ref="M5:M8"/>
    <mergeCell ref="J7:J8"/>
    <mergeCell ref="A5:A8"/>
    <mergeCell ref="B5:B8"/>
    <mergeCell ref="C5:C8"/>
    <mergeCell ref="D5:D8"/>
    <mergeCell ref="K7:K8"/>
    <mergeCell ref="L7:L8"/>
    <mergeCell ref="J5:L6"/>
    <mergeCell ref="E5:E8"/>
    <mergeCell ref="H7:H8"/>
    <mergeCell ref="H5:I6"/>
    <mergeCell ref="F5:F8"/>
    <mergeCell ref="G5:G8"/>
  </mergeCells>
  <dataValidations count="1">
    <dataValidation type="whole" allowBlank="1" showInputMessage="1" showErrorMessage="1" sqref="M13:M14 H13:I14">
      <formula1>0</formula1>
      <formula2>1000000</formula2>
    </dataValidation>
  </dataValidations>
  <printOptions horizontalCentered="1"/>
  <pageMargins left="0.18" right="0" top="0.19" bottom="0.47" header="0.36" footer="0.2"/>
  <pageSetup firstPageNumber="6" useFirstPageNumber="1" horizontalDpi="600" verticalDpi="600" orientation="landscape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10"/>
  <sheetViews>
    <sheetView view="pageBreakPreview" zoomScale="75" zoomScaleSheetLayoutView="75" zoomScalePageLayoutView="0" workbookViewId="0" topLeftCell="A1">
      <selection activeCell="A4" sqref="A4"/>
    </sheetView>
  </sheetViews>
  <sheetFormatPr defaultColWidth="9.00390625" defaultRowHeight="15.75"/>
  <cols>
    <col min="1" max="1" width="4.875" style="50" customWidth="1"/>
    <col min="2" max="2" width="38.625" style="50" customWidth="1"/>
    <col min="3" max="3" width="7.75390625" style="286" customWidth="1"/>
    <col min="4" max="4" width="11.00390625" style="50" hidden="1" customWidth="1"/>
    <col min="5" max="7" width="11.00390625" style="50" customWidth="1"/>
    <col min="8" max="8" width="10.625" style="50" customWidth="1"/>
    <col min="9" max="9" width="10.50390625" style="50" customWidth="1"/>
    <col min="10" max="10" width="13.25390625" style="50" customWidth="1"/>
    <col min="11" max="11" width="11.625" style="50" customWidth="1"/>
    <col min="12" max="12" width="11.375" style="50" customWidth="1"/>
    <col min="13" max="13" width="11.875" style="50" hidden="1" customWidth="1"/>
    <col min="14" max="15" width="0" style="50" hidden="1" customWidth="1"/>
    <col min="16" max="16" width="11.25390625" style="50" customWidth="1"/>
    <col min="17" max="17" width="14.50390625" style="50" customWidth="1"/>
    <col min="18" max="18" width="11.125" style="287" bestFit="1" customWidth="1"/>
    <col min="19" max="20" width="9.00390625" style="288" customWidth="1"/>
    <col min="21" max="16384" width="9.00390625" style="50" customWidth="1"/>
  </cols>
  <sheetData>
    <row r="1" spans="1:17" ht="15.75">
      <c r="A1" s="214"/>
      <c r="B1" s="214"/>
      <c r="C1" s="82"/>
      <c r="D1" s="214"/>
      <c r="E1" s="214"/>
      <c r="F1" s="214"/>
      <c r="G1" s="214"/>
      <c r="H1" s="214"/>
      <c r="I1" s="214"/>
      <c r="J1" s="214"/>
      <c r="K1" s="1"/>
      <c r="L1" s="825" t="s">
        <v>256</v>
      </c>
      <c r="M1" s="825"/>
      <c r="N1" s="215" t="s">
        <v>257</v>
      </c>
      <c r="O1" s="215"/>
      <c r="P1" s="215"/>
      <c r="Q1" s="215"/>
    </row>
    <row r="2" spans="1:17" ht="15.75">
      <c r="A2" s="861" t="s">
        <v>696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216"/>
    </row>
    <row r="3" spans="1:17" ht="15.75">
      <c r="A3" s="855" t="str">
        <f>'BIỂU 01'!A3:N3</f>
        <v>(Kèm theo Báo cáo            /BC-UBND, ngày      /6/2024 của UBND huyện Điện Biên)</v>
      </c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72"/>
    </row>
    <row r="4" spans="1:17" ht="15.75">
      <c r="A4" s="80"/>
      <c r="B4" s="81"/>
      <c r="C4" s="82"/>
      <c r="D4" s="217"/>
      <c r="E4" s="217"/>
      <c r="F4" s="217"/>
      <c r="G4" s="217"/>
      <c r="H4" s="80"/>
      <c r="I4" s="80"/>
      <c r="J4" s="80"/>
      <c r="K4" s="218"/>
      <c r="L4" s="218"/>
      <c r="M4" s="218"/>
      <c r="N4" s="78"/>
      <c r="O4" s="78"/>
      <c r="P4" s="78"/>
      <c r="Q4" s="78"/>
    </row>
    <row r="5" spans="1:18" ht="10.5" customHeight="1">
      <c r="A5" s="856" t="s">
        <v>120</v>
      </c>
      <c r="B5" s="857" t="s">
        <v>2</v>
      </c>
      <c r="C5" s="843" t="s">
        <v>121</v>
      </c>
      <c r="D5" s="844" t="s">
        <v>670</v>
      </c>
      <c r="E5" s="740" t="s">
        <v>687</v>
      </c>
      <c r="F5" s="740" t="s">
        <v>689</v>
      </c>
      <c r="G5" s="840" t="s">
        <v>690</v>
      </c>
      <c r="H5" s="725" t="s">
        <v>672</v>
      </c>
      <c r="I5" s="829"/>
      <c r="J5" s="725" t="s">
        <v>4</v>
      </c>
      <c r="K5" s="838"/>
      <c r="L5" s="829"/>
      <c r="M5" s="834" t="s">
        <v>672</v>
      </c>
      <c r="N5" s="858" t="s">
        <v>603</v>
      </c>
      <c r="O5" s="46"/>
      <c r="P5" s="834" t="s">
        <v>691</v>
      </c>
      <c r="Q5" s="296"/>
      <c r="R5" s="288" t="s">
        <v>571</v>
      </c>
    </row>
    <row r="6" spans="1:17" ht="10.5" customHeight="1">
      <c r="A6" s="856"/>
      <c r="B6" s="857"/>
      <c r="C6" s="843"/>
      <c r="D6" s="844"/>
      <c r="E6" s="741"/>
      <c r="F6" s="741"/>
      <c r="G6" s="841"/>
      <c r="H6" s="830"/>
      <c r="I6" s="831"/>
      <c r="J6" s="830"/>
      <c r="K6" s="839"/>
      <c r="L6" s="831"/>
      <c r="M6" s="834"/>
      <c r="N6" s="859"/>
      <c r="O6" s="46"/>
      <c r="P6" s="834"/>
      <c r="Q6" s="296"/>
    </row>
    <row r="7" spans="1:17" ht="45.75" customHeight="1">
      <c r="A7" s="856"/>
      <c r="B7" s="857"/>
      <c r="C7" s="843"/>
      <c r="D7" s="844"/>
      <c r="E7" s="741"/>
      <c r="F7" s="741"/>
      <c r="G7" s="841"/>
      <c r="H7" s="832" t="s">
        <v>6</v>
      </c>
      <c r="I7" s="832" t="s">
        <v>7</v>
      </c>
      <c r="J7" s="832" t="s">
        <v>692</v>
      </c>
      <c r="K7" s="834" t="s">
        <v>704</v>
      </c>
      <c r="L7" s="834" t="s">
        <v>705</v>
      </c>
      <c r="M7" s="834"/>
      <c r="N7" s="859"/>
      <c r="O7" s="46"/>
      <c r="P7" s="834"/>
      <c r="Q7" s="296"/>
    </row>
    <row r="8" spans="1:17" ht="57" customHeight="1">
      <c r="A8" s="856"/>
      <c r="B8" s="857"/>
      <c r="C8" s="843"/>
      <c r="D8" s="844"/>
      <c r="E8" s="742"/>
      <c r="F8" s="742"/>
      <c r="G8" s="842"/>
      <c r="H8" s="833"/>
      <c r="I8" s="833"/>
      <c r="J8" s="833"/>
      <c r="K8" s="834"/>
      <c r="L8" s="834"/>
      <c r="M8" s="834"/>
      <c r="N8" s="860"/>
      <c r="O8" s="46"/>
      <c r="P8" s="834"/>
      <c r="Q8" s="296"/>
    </row>
    <row r="9" spans="1:17" ht="15.75">
      <c r="A9" s="20" t="s">
        <v>9</v>
      </c>
      <c r="B9" s="20" t="s">
        <v>10</v>
      </c>
      <c r="C9" s="20" t="s">
        <v>11</v>
      </c>
      <c r="D9" s="20">
        <v>1</v>
      </c>
      <c r="E9" s="20">
        <v>1</v>
      </c>
      <c r="F9" s="20">
        <v>2</v>
      </c>
      <c r="G9" s="20">
        <v>3</v>
      </c>
      <c r="H9" s="20">
        <v>4</v>
      </c>
      <c r="I9" s="20">
        <v>5</v>
      </c>
      <c r="J9" s="20" t="s">
        <v>695</v>
      </c>
      <c r="K9" s="8" t="s">
        <v>699</v>
      </c>
      <c r="L9" s="8" t="s">
        <v>700</v>
      </c>
      <c r="M9" s="20">
        <v>8</v>
      </c>
      <c r="N9" s="9">
        <v>9</v>
      </c>
      <c r="O9" s="46"/>
      <c r="P9" s="9">
        <v>9</v>
      </c>
      <c r="Q9" s="297"/>
    </row>
    <row r="10" spans="1:17" ht="15.75">
      <c r="A10" s="10" t="s">
        <v>14</v>
      </c>
      <c r="B10" s="11" t="s">
        <v>258</v>
      </c>
      <c r="C10" s="219" t="s">
        <v>259</v>
      </c>
      <c r="D10" s="18">
        <v>21</v>
      </c>
      <c r="E10" s="18">
        <v>21</v>
      </c>
      <c r="F10" s="18">
        <v>21</v>
      </c>
      <c r="G10" s="18">
        <v>21</v>
      </c>
      <c r="H10" s="220"/>
      <c r="I10" s="221">
        <v>21</v>
      </c>
      <c r="J10" s="18">
        <f aca="true" t="shared" si="0" ref="J10:J15">F10/G10*100</f>
        <v>100</v>
      </c>
      <c r="K10" s="222"/>
      <c r="L10" s="222">
        <f aca="true" t="shared" si="1" ref="L10:L15">F10/I10*100</f>
        <v>100</v>
      </c>
      <c r="M10" s="221"/>
      <c r="N10" s="223"/>
      <c r="O10" s="18"/>
      <c r="P10" s="221">
        <v>21</v>
      </c>
      <c r="Q10" s="298"/>
    </row>
    <row r="11" spans="1:20" s="492" customFormat="1" ht="15.75">
      <c r="A11" s="654">
        <v>1</v>
      </c>
      <c r="B11" s="623" t="s">
        <v>260</v>
      </c>
      <c r="C11" s="655" t="s">
        <v>261</v>
      </c>
      <c r="D11" s="624">
        <v>9</v>
      </c>
      <c r="E11" s="624">
        <v>9</v>
      </c>
      <c r="F11" s="624">
        <v>9</v>
      </c>
      <c r="G11" s="624">
        <v>9</v>
      </c>
      <c r="H11" s="648"/>
      <c r="I11" s="647">
        <v>9</v>
      </c>
      <c r="J11" s="624">
        <f t="shared" si="0"/>
        <v>100</v>
      </c>
      <c r="K11" s="649"/>
      <c r="L11" s="649">
        <f t="shared" si="1"/>
        <v>100</v>
      </c>
      <c r="M11" s="647"/>
      <c r="N11" s="656"/>
      <c r="O11" s="657"/>
      <c r="P11" s="647">
        <v>9</v>
      </c>
      <c r="Q11" s="658"/>
      <c r="R11" s="652"/>
      <c r="S11" s="622"/>
      <c r="T11" s="622"/>
    </row>
    <row r="12" spans="1:20" s="492" customFormat="1" ht="15.75">
      <c r="A12" s="654">
        <v>2</v>
      </c>
      <c r="B12" s="623" t="s">
        <v>262</v>
      </c>
      <c r="C12" s="655" t="s">
        <v>261</v>
      </c>
      <c r="D12" s="624">
        <v>12</v>
      </c>
      <c r="E12" s="624">
        <v>12</v>
      </c>
      <c r="F12" s="624">
        <v>12</v>
      </c>
      <c r="G12" s="624">
        <v>12</v>
      </c>
      <c r="H12" s="648"/>
      <c r="I12" s="647">
        <v>12</v>
      </c>
      <c r="J12" s="624">
        <f t="shared" si="0"/>
        <v>100</v>
      </c>
      <c r="K12" s="649"/>
      <c r="L12" s="649">
        <f t="shared" si="1"/>
        <v>100</v>
      </c>
      <c r="M12" s="647"/>
      <c r="N12" s="659"/>
      <c r="O12" s="624"/>
      <c r="P12" s="647">
        <v>12</v>
      </c>
      <c r="Q12" s="658"/>
      <c r="R12" s="652"/>
      <c r="S12" s="622"/>
      <c r="T12" s="622"/>
    </row>
    <row r="13" spans="1:20" s="492" customFormat="1" ht="15.75">
      <c r="A13" s="654">
        <v>3</v>
      </c>
      <c r="B13" s="623" t="s">
        <v>263</v>
      </c>
      <c r="C13" s="655" t="s">
        <v>261</v>
      </c>
      <c r="D13" s="624">
        <v>12</v>
      </c>
      <c r="E13" s="624">
        <v>12</v>
      </c>
      <c r="F13" s="624">
        <v>12</v>
      </c>
      <c r="G13" s="624">
        <v>12</v>
      </c>
      <c r="H13" s="648"/>
      <c r="I13" s="647">
        <v>12</v>
      </c>
      <c r="J13" s="624">
        <f t="shared" si="0"/>
        <v>100</v>
      </c>
      <c r="K13" s="649"/>
      <c r="L13" s="649">
        <f t="shared" si="1"/>
        <v>100</v>
      </c>
      <c r="M13" s="647"/>
      <c r="N13" s="659"/>
      <c r="O13" s="624"/>
      <c r="P13" s="647">
        <v>12</v>
      </c>
      <c r="Q13" s="658"/>
      <c r="R13" s="652"/>
      <c r="S13" s="622"/>
      <c r="T13" s="622"/>
    </row>
    <row r="14" spans="1:20" s="66" customFormat="1" ht="15.75">
      <c r="A14" s="16" t="s">
        <v>46</v>
      </c>
      <c r="B14" s="230" t="s">
        <v>264</v>
      </c>
      <c r="C14" s="231" t="s">
        <v>265</v>
      </c>
      <c r="D14" s="18">
        <v>102670</v>
      </c>
      <c r="E14" s="18">
        <v>103837</v>
      </c>
      <c r="F14" s="18">
        <v>104408</v>
      </c>
      <c r="G14" s="18">
        <v>103253.5</v>
      </c>
      <c r="H14" s="232">
        <v>104979</v>
      </c>
      <c r="I14" s="221">
        <v>104979</v>
      </c>
      <c r="J14" s="18">
        <f t="shared" si="0"/>
        <v>101.11812190385798</v>
      </c>
      <c r="K14" s="222">
        <f>F14/H14*100</f>
        <v>99.45608169252898</v>
      </c>
      <c r="L14" s="222">
        <f t="shared" si="1"/>
        <v>99.45608169252898</v>
      </c>
      <c r="M14" s="221"/>
      <c r="N14" s="233"/>
      <c r="O14" s="12"/>
      <c r="P14" s="221">
        <v>104979</v>
      </c>
      <c r="Q14" s="299"/>
      <c r="R14" s="289">
        <v>103837</v>
      </c>
      <c r="S14" s="290"/>
      <c r="T14" s="290"/>
    </row>
    <row r="15" spans="1:20" s="492" customFormat="1" ht="15.75">
      <c r="A15" s="644">
        <v>1</v>
      </c>
      <c r="B15" s="645" t="s">
        <v>266</v>
      </c>
      <c r="C15" s="646" t="s">
        <v>242</v>
      </c>
      <c r="D15" s="647">
        <v>51600</v>
      </c>
      <c r="E15" s="624">
        <f>'[1]BIỂU 04'!E81</f>
        <v>51710.826</v>
      </c>
      <c r="F15" s="624">
        <v>52258</v>
      </c>
      <c r="G15" s="624">
        <v>51915</v>
      </c>
      <c r="H15" s="648">
        <v>52804</v>
      </c>
      <c r="I15" s="647">
        <v>52804</v>
      </c>
      <c r="J15" s="624">
        <f t="shared" si="0"/>
        <v>100.66069536742752</v>
      </c>
      <c r="K15" s="649">
        <f>F15/H15*100</f>
        <v>98.96598742519505</v>
      </c>
      <c r="L15" s="649">
        <f t="shared" si="1"/>
        <v>98.96598742519505</v>
      </c>
      <c r="M15" s="647"/>
      <c r="N15" s="650"/>
      <c r="O15" s="484"/>
      <c r="P15" s="647">
        <v>52804</v>
      </c>
      <c r="Q15" s="651"/>
      <c r="R15" s="652"/>
      <c r="S15" s="622">
        <f>P14*50.3</f>
        <v>5280443.699999999</v>
      </c>
      <c r="T15" s="622"/>
    </row>
    <row r="16" spans="1:18" ht="15.75">
      <c r="A16" s="17">
        <v>2</v>
      </c>
      <c r="B16" s="234" t="s">
        <v>267</v>
      </c>
      <c r="C16" s="235" t="s">
        <v>242</v>
      </c>
      <c r="D16" s="85">
        <f>D14</f>
        <v>102670</v>
      </c>
      <c r="E16" s="85">
        <f>I16</f>
        <v>104979</v>
      </c>
      <c r="F16" s="85">
        <f>F14</f>
        <v>104408</v>
      </c>
      <c r="G16" s="85">
        <v>103253.5</v>
      </c>
      <c r="H16" s="220">
        <f>H14</f>
        <v>104979</v>
      </c>
      <c r="I16" s="227">
        <f>I14</f>
        <v>104979</v>
      </c>
      <c r="J16" s="624">
        <f aca="true" t="shared" si="2" ref="J16:J79">F16/G16*100</f>
        <v>101.11812190385798</v>
      </c>
      <c r="K16" s="649">
        <f>F16/H16*100</f>
        <v>99.45608169252898</v>
      </c>
      <c r="L16" s="649">
        <f aca="true" t="shared" si="3" ref="L16:L79">F16/I16*100</f>
        <v>99.45608169252898</v>
      </c>
      <c r="M16" s="227"/>
      <c r="N16" s="236"/>
      <c r="O16" s="7"/>
      <c r="P16" s="227">
        <f>P14</f>
        <v>104979</v>
      </c>
      <c r="Q16" s="300"/>
      <c r="R16" s="287">
        <f>R14</f>
        <v>103837</v>
      </c>
    </row>
    <row r="17" spans="1:20" s="468" customFormat="1" ht="15.75">
      <c r="A17" s="637" t="s">
        <v>53</v>
      </c>
      <c r="B17" s="660" t="s">
        <v>268</v>
      </c>
      <c r="C17" s="661"/>
      <c r="D17" s="626"/>
      <c r="E17" s="626"/>
      <c r="F17" s="626"/>
      <c r="G17" s="626"/>
      <c r="H17" s="640"/>
      <c r="I17" s="639"/>
      <c r="J17" s="626"/>
      <c r="K17" s="641"/>
      <c r="L17" s="641"/>
      <c r="M17" s="639"/>
      <c r="N17" s="642"/>
      <c r="O17" s="459"/>
      <c r="P17" s="639"/>
      <c r="Q17" s="662"/>
      <c r="R17" s="643"/>
      <c r="S17" s="606"/>
      <c r="T17" s="606"/>
    </row>
    <row r="18" spans="1:20" s="468" customFormat="1" ht="18" customHeight="1">
      <c r="A18" s="637">
        <v>1</v>
      </c>
      <c r="B18" s="660" t="s">
        <v>269</v>
      </c>
      <c r="C18" s="663" t="s">
        <v>270</v>
      </c>
      <c r="D18" s="626">
        <v>62629</v>
      </c>
      <c r="E18" s="733">
        <v>63341</v>
      </c>
      <c r="F18" s="626">
        <v>63689</v>
      </c>
      <c r="G18" s="626">
        <v>62984.635</v>
      </c>
      <c r="H18" s="640">
        <v>60649</v>
      </c>
      <c r="I18" s="639">
        <f>I14*I19%</f>
        <v>64037.189999999995</v>
      </c>
      <c r="J18" s="626">
        <f t="shared" si="2"/>
        <v>101.1183124265148</v>
      </c>
      <c r="K18" s="641">
        <f>F18/H18*100</f>
        <v>105.01244868011015</v>
      </c>
      <c r="L18" s="641">
        <f t="shared" si="3"/>
        <v>99.45626908363718</v>
      </c>
      <c r="M18" s="639"/>
      <c r="N18" s="642"/>
      <c r="O18" s="459"/>
      <c r="P18" s="639">
        <f>P14*P19%</f>
        <v>64037.189999999995</v>
      </c>
      <c r="Q18" s="662"/>
      <c r="R18" s="643">
        <v>60090</v>
      </c>
      <c r="S18" s="606"/>
      <c r="T18" s="606"/>
    </row>
    <row r="19" spans="1:20" ht="15.75">
      <c r="A19" s="17"/>
      <c r="B19" s="237" t="s">
        <v>271</v>
      </c>
      <c r="C19" s="238" t="s">
        <v>23</v>
      </c>
      <c r="D19" s="239">
        <v>61</v>
      </c>
      <c r="E19" s="734">
        <f>I19</f>
        <v>61</v>
      </c>
      <c r="F19" s="87">
        <f>F18/F14*100</f>
        <v>61.00011493372155</v>
      </c>
      <c r="G19" s="85">
        <v>61</v>
      </c>
      <c r="H19" s="240">
        <v>57.77</v>
      </c>
      <c r="I19" s="227">
        <v>61</v>
      </c>
      <c r="J19" s="624">
        <f t="shared" si="2"/>
        <v>100.00018841593696</v>
      </c>
      <c r="K19" s="649">
        <f>F19/H19*100</f>
        <v>105.59133621900907</v>
      </c>
      <c r="L19" s="649">
        <f t="shared" si="3"/>
        <v>100.00018841593696</v>
      </c>
      <c r="M19" s="227"/>
      <c r="N19" s="236"/>
      <c r="O19" s="7"/>
      <c r="P19" s="227">
        <v>61</v>
      </c>
      <c r="Q19" s="300"/>
      <c r="R19" s="383">
        <v>57.87</v>
      </c>
      <c r="S19" s="117"/>
      <c r="T19" s="117"/>
    </row>
    <row r="20" spans="1:17" ht="15.75">
      <c r="A20" s="17"/>
      <c r="B20" s="237" t="s">
        <v>272</v>
      </c>
      <c r="C20" s="242" t="s">
        <v>270</v>
      </c>
      <c r="D20" s="85">
        <f>D18*49.5%</f>
        <v>31001.355</v>
      </c>
      <c r="E20" s="734">
        <v>31407</v>
      </c>
      <c r="F20" s="85">
        <v>31873</v>
      </c>
      <c r="G20" s="85">
        <v>31204.177499999998</v>
      </c>
      <c r="H20" s="220"/>
      <c r="I20" s="227">
        <f>I18*50.5%</f>
        <v>32338.780949999997</v>
      </c>
      <c r="J20" s="624">
        <f t="shared" si="2"/>
        <v>102.14337487344443</v>
      </c>
      <c r="K20" s="649"/>
      <c r="L20" s="649">
        <f t="shared" si="3"/>
        <v>98.559683029734</v>
      </c>
      <c r="M20" s="227"/>
      <c r="N20" s="236"/>
      <c r="O20" s="7"/>
      <c r="P20" s="227">
        <f>P18*50.5%</f>
        <v>32338.780949999997</v>
      </c>
      <c r="Q20" s="301"/>
    </row>
    <row r="21" spans="1:20" s="468" customFormat="1" ht="15.75">
      <c r="A21" s="637">
        <v>2</v>
      </c>
      <c r="B21" s="660" t="s">
        <v>273</v>
      </c>
      <c r="C21" s="664" t="s">
        <v>270</v>
      </c>
      <c r="D21" s="626">
        <f>D18</f>
        <v>62629</v>
      </c>
      <c r="E21" s="733">
        <f>E18</f>
        <v>63341</v>
      </c>
      <c r="F21" s="626">
        <f>F18</f>
        <v>63689</v>
      </c>
      <c r="G21" s="626">
        <v>62984.635</v>
      </c>
      <c r="H21" s="640"/>
      <c r="I21" s="639">
        <f>I18</f>
        <v>64037.189999999995</v>
      </c>
      <c r="J21" s="626">
        <f t="shared" si="2"/>
        <v>101.1183124265148</v>
      </c>
      <c r="K21" s="641"/>
      <c r="L21" s="641">
        <f t="shared" si="3"/>
        <v>99.45626908363718</v>
      </c>
      <c r="M21" s="639"/>
      <c r="N21" s="642"/>
      <c r="O21" s="459"/>
      <c r="P21" s="639">
        <f>P18</f>
        <v>64037.189999999995</v>
      </c>
      <c r="Q21" s="665"/>
      <c r="R21" s="643">
        <f>R18</f>
        <v>60090</v>
      </c>
      <c r="S21" s="606"/>
      <c r="T21" s="606"/>
    </row>
    <row r="22" spans="1:20" s="468" customFormat="1" ht="15.75">
      <c r="A22" s="637">
        <v>3</v>
      </c>
      <c r="B22" s="660" t="s">
        <v>274</v>
      </c>
      <c r="C22" s="664" t="s">
        <v>270</v>
      </c>
      <c r="D22" s="626">
        <f>D21*96%</f>
        <v>60123.84</v>
      </c>
      <c r="E22" s="733">
        <v>60807</v>
      </c>
      <c r="F22" s="626">
        <v>61141</v>
      </c>
      <c r="G22" s="626">
        <v>60465.2496</v>
      </c>
      <c r="H22" s="640"/>
      <c r="I22" s="639">
        <f>I18*I23%</f>
        <v>61475.702399999995</v>
      </c>
      <c r="J22" s="626">
        <f t="shared" si="2"/>
        <v>101.11758473581163</v>
      </c>
      <c r="K22" s="641"/>
      <c r="L22" s="641">
        <f t="shared" si="3"/>
        <v>99.45555335371004</v>
      </c>
      <c r="M22" s="639"/>
      <c r="N22" s="642"/>
      <c r="O22" s="459"/>
      <c r="P22" s="639">
        <f>P18*P23%</f>
        <v>61475.702399999995</v>
      </c>
      <c r="Q22" s="665"/>
      <c r="R22" s="643">
        <v>50049</v>
      </c>
      <c r="S22" s="606"/>
      <c r="T22" s="606"/>
    </row>
    <row r="23" spans="1:17" ht="15.75">
      <c r="A23" s="17"/>
      <c r="B23" s="237" t="s">
        <v>275</v>
      </c>
      <c r="C23" s="238" t="s">
        <v>23</v>
      </c>
      <c r="D23" s="87">
        <v>96</v>
      </c>
      <c r="E23" s="733">
        <f>I23</f>
        <v>96</v>
      </c>
      <c r="F23" s="18">
        <v>96</v>
      </c>
      <c r="G23" s="85">
        <v>96</v>
      </c>
      <c r="H23" s="244"/>
      <c r="I23" s="227">
        <v>96</v>
      </c>
      <c r="J23" s="624">
        <f t="shared" si="2"/>
        <v>100</v>
      </c>
      <c r="K23" s="649"/>
      <c r="L23" s="649">
        <f t="shared" si="3"/>
        <v>100</v>
      </c>
      <c r="M23" s="227"/>
      <c r="N23" s="236"/>
      <c r="O23" s="7"/>
      <c r="P23" s="227">
        <v>96</v>
      </c>
      <c r="Q23" s="301"/>
    </row>
    <row r="24" spans="1:20" s="468" customFormat="1" ht="15.75">
      <c r="A24" s="637">
        <v>4</v>
      </c>
      <c r="B24" s="660" t="s">
        <v>276</v>
      </c>
      <c r="C24" s="664" t="s">
        <v>270</v>
      </c>
      <c r="D24" s="626">
        <f>D22*96%</f>
        <v>57718.886399999996</v>
      </c>
      <c r="E24" s="733">
        <v>58375</v>
      </c>
      <c r="F24" s="626">
        <v>58696</v>
      </c>
      <c r="G24" s="626">
        <v>58046</v>
      </c>
      <c r="H24" s="640"/>
      <c r="I24" s="639">
        <f>I22*I25%</f>
        <v>59016.67430399999</v>
      </c>
      <c r="J24" s="626">
        <f t="shared" si="2"/>
        <v>101.11980153671227</v>
      </c>
      <c r="K24" s="641"/>
      <c r="L24" s="641">
        <f t="shared" si="3"/>
        <v>99.45663779299359</v>
      </c>
      <c r="M24" s="639"/>
      <c r="N24" s="642"/>
      <c r="O24" s="459"/>
      <c r="P24" s="639">
        <f>P22*P25%</f>
        <v>59016.67430399999</v>
      </c>
      <c r="Q24" s="665"/>
      <c r="R24" s="643"/>
      <c r="S24" s="606"/>
      <c r="T24" s="606"/>
    </row>
    <row r="25" spans="1:17" ht="15.75">
      <c r="A25" s="17"/>
      <c r="B25" s="237" t="s">
        <v>277</v>
      </c>
      <c r="C25" s="238" t="s">
        <v>23</v>
      </c>
      <c r="D25" s="85">
        <v>96</v>
      </c>
      <c r="E25" s="734">
        <f>I25</f>
        <v>96</v>
      </c>
      <c r="F25" s="85">
        <v>96</v>
      </c>
      <c r="G25" s="85">
        <v>96</v>
      </c>
      <c r="H25" s="244"/>
      <c r="I25" s="227">
        <v>96</v>
      </c>
      <c r="J25" s="624">
        <f t="shared" si="2"/>
        <v>100</v>
      </c>
      <c r="K25" s="649"/>
      <c r="L25" s="649">
        <f t="shared" si="3"/>
        <v>100</v>
      </c>
      <c r="M25" s="227"/>
      <c r="N25" s="236"/>
      <c r="O25" s="7"/>
      <c r="P25" s="227">
        <v>96</v>
      </c>
      <c r="Q25" s="301"/>
    </row>
    <row r="26" spans="1:17" ht="15.75">
      <c r="A26" s="17"/>
      <c r="B26" s="237" t="s">
        <v>278</v>
      </c>
      <c r="C26" s="242" t="s">
        <v>270</v>
      </c>
      <c r="D26" s="85">
        <f>D24*49.9%</f>
        <v>28801.724313599996</v>
      </c>
      <c r="E26" s="734">
        <v>29179</v>
      </c>
      <c r="F26" s="85">
        <v>29419</v>
      </c>
      <c r="G26" s="85">
        <v>28990</v>
      </c>
      <c r="H26" s="220"/>
      <c r="I26" s="227">
        <f>I24*50.5%</f>
        <v>29803.420523519995</v>
      </c>
      <c r="J26" s="624">
        <f t="shared" si="2"/>
        <v>101.4798206278027</v>
      </c>
      <c r="K26" s="649"/>
      <c r="L26" s="649">
        <f t="shared" si="3"/>
        <v>98.71014629607154</v>
      </c>
      <c r="M26" s="227"/>
      <c r="N26" s="236"/>
      <c r="O26" s="7"/>
      <c r="P26" s="227">
        <f>P24*50.5%</f>
        <v>29803.420523519995</v>
      </c>
      <c r="Q26" s="301"/>
    </row>
    <row r="27" spans="1:17" ht="15.75">
      <c r="A27" s="17" t="s">
        <v>33</v>
      </c>
      <c r="B27" s="237" t="s">
        <v>279</v>
      </c>
      <c r="C27" s="242" t="s">
        <v>270</v>
      </c>
      <c r="D27" s="85">
        <v>10216</v>
      </c>
      <c r="E27" s="734">
        <v>10409</v>
      </c>
      <c r="F27" s="85">
        <v>10465</v>
      </c>
      <c r="G27" s="85">
        <v>10310</v>
      </c>
      <c r="H27" s="220"/>
      <c r="I27" s="139">
        <f>17.85%*I24</f>
        <v>10534.476363264</v>
      </c>
      <c r="J27" s="624">
        <f t="shared" si="2"/>
        <v>101.50339476236663</v>
      </c>
      <c r="K27" s="649"/>
      <c r="L27" s="649">
        <f t="shared" si="3"/>
        <v>99.34048584031875</v>
      </c>
      <c r="M27" s="139"/>
      <c r="N27" s="236"/>
      <c r="O27" s="7"/>
      <c r="P27" s="139">
        <f>17.85%*P24</f>
        <v>10534.476363264</v>
      </c>
      <c r="Q27" s="301"/>
    </row>
    <row r="28" spans="1:17" ht="15.75">
      <c r="A28" s="17" t="s">
        <v>35</v>
      </c>
      <c r="B28" s="237" t="s">
        <v>280</v>
      </c>
      <c r="C28" s="242" t="s">
        <v>270</v>
      </c>
      <c r="D28" s="85">
        <v>33939</v>
      </c>
      <c r="E28" s="734">
        <v>34266</v>
      </c>
      <c r="F28" s="85">
        <v>34454</v>
      </c>
      <c r="G28" s="85">
        <v>34097</v>
      </c>
      <c r="H28" s="240"/>
      <c r="I28" s="246">
        <f>58.45%*I24</f>
        <v>34495.246130688</v>
      </c>
      <c r="J28" s="624">
        <f t="shared" si="2"/>
        <v>101.04701293368919</v>
      </c>
      <c r="K28" s="649"/>
      <c r="L28" s="649">
        <f t="shared" si="3"/>
        <v>99.88042952199345</v>
      </c>
      <c r="M28" s="246"/>
      <c r="N28" s="236"/>
      <c r="O28" s="7"/>
      <c r="P28" s="246">
        <f>58.45%*P24</f>
        <v>34495.246130688</v>
      </c>
      <c r="Q28" s="301"/>
    </row>
    <row r="29" spans="1:17" ht="15.75">
      <c r="A29" s="17" t="s">
        <v>281</v>
      </c>
      <c r="B29" s="237" t="s">
        <v>282</v>
      </c>
      <c r="C29" s="242" t="s">
        <v>270</v>
      </c>
      <c r="D29" s="85">
        <f>D24-D27-D28</f>
        <v>13563.886399999996</v>
      </c>
      <c r="E29" s="734">
        <v>13700</v>
      </c>
      <c r="F29" s="85">
        <v>13777</v>
      </c>
      <c r="G29" s="85">
        <f>G24-G27-G28</f>
        <v>13639</v>
      </c>
      <c r="H29" s="240"/>
      <c r="I29" s="246">
        <f>23.7%*I24</f>
        <v>13986.951810047998</v>
      </c>
      <c r="J29" s="624">
        <f t="shared" si="2"/>
        <v>101.01180438448567</v>
      </c>
      <c r="K29" s="649"/>
      <c r="L29" s="649">
        <f t="shared" si="3"/>
        <v>98.49894521051276</v>
      </c>
      <c r="M29" s="246"/>
      <c r="N29" s="236"/>
      <c r="O29" s="7"/>
      <c r="P29" s="246">
        <f>23.7%*P24</f>
        <v>13986.951810047998</v>
      </c>
      <c r="Q29" s="301"/>
    </row>
    <row r="30" spans="1:20" s="468" customFormat="1" ht="15.75">
      <c r="A30" s="637">
        <v>5</v>
      </c>
      <c r="B30" s="666" t="s">
        <v>283</v>
      </c>
      <c r="C30" s="664" t="s">
        <v>284</v>
      </c>
      <c r="D30" s="626">
        <f>D24*49.5%</f>
        <v>28570.848767999996</v>
      </c>
      <c r="E30" s="733">
        <v>29713</v>
      </c>
      <c r="F30" s="626">
        <v>30199</v>
      </c>
      <c r="G30" s="626">
        <v>29263</v>
      </c>
      <c r="H30" s="640"/>
      <c r="I30" s="667">
        <f>I24*I31%</f>
        <v>30688.67063808</v>
      </c>
      <c r="J30" s="626">
        <f t="shared" si="2"/>
        <v>103.19857840959574</v>
      </c>
      <c r="K30" s="641"/>
      <c r="L30" s="641">
        <f t="shared" si="3"/>
        <v>98.4043928006696</v>
      </c>
      <c r="M30" s="667"/>
      <c r="N30" s="642"/>
      <c r="O30" s="459"/>
      <c r="P30" s="667">
        <f>P24*P31%</f>
        <v>30688.67063808</v>
      </c>
      <c r="Q30" s="665"/>
      <c r="R30" s="643"/>
      <c r="S30" s="606"/>
      <c r="T30" s="606"/>
    </row>
    <row r="31" spans="1:20" ht="30">
      <c r="A31" s="17"/>
      <c r="B31" s="247" t="s">
        <v>285</v>
      </c>
      <c r="C31" s="242" t="s">
        <v>23</v>
      </c>
      <c r="D31" s="85">
        <v>49.5</v>
      </c>
      <c r="E31" s="735">
        <v>50.9</v>
      </c>
      <c r="F31" s="239">
        <v>51.45</v>
      </c>
      <c r="G31" s="87">
        <v>50.5007700599431</v>
      </c>
      <c r="H31" s="220"/>
      <c r="I31" s="226">
        <v>52</v>
      </c>
      <c r="J31" s="624">
        <f t="shared" si="2"/>
        <v>101.87963458563145</v>
      </c>
      <c r="K31" s="649"/>
      <c r="L31" s="649">
        <f t="shared" si="3"/>
        <v>98.9423076923077</v>
      </c>
      <c r="M31" s="226"/>
      <c r="N31" s="236"/>
      <c r="O31" s="7"/>
      <c r="P31" s="226">
        <v>52</v>
      </c>
      <c r="Q31" s="303"/>
      <c r="R31" s="383"/>
      <c r="S31" s="117"/>
      <c r="T31" s="117"/>
    </row>
    <row r="32" spans="1:20" s="468" customFormat="1" ht="14.25" customHeight="1">
      <c r="A32" s="637">
        <v>6</v>
      </c>
      <c r="B32" s="660" t="s">
        <v>286</v>
      </c>
      <c r="C32" s="664" t="s">
        <v>270</v>
      </c>
      <c r="D32" s="626">
        <v>1101</v>
      </c>
      <c r="E32" s="626">
        <v>1090</v>
      </c>
      <c r="F32" s="626">
        <v>698</v>
      </c>
      <c r="G32" s="626">
        <v>541</v>
      </c>
      <c r="H32" s="640">
        <v>1100</v>
      </c>
      <c r="I32" s="639">
        <v>1100</v>
      </c>
      <c r="J32" s="626">
        <f t="shared" si="2"/>
        <v>129.02033271719037</v>
      </c>
      <c r="K32" s="641">
        <f>F32/H32*100</f>
        <v>63.45454545454545</v>
      </c>
      <c r="L32" s="641">
        <f t="shared" si="3"/>
        <v>63.45454545454545</v>
      </c>
      <c r="M32" s="639"/>
      <c r="N32" s="642"/>
      <c r="O32" s="459"/>
      <c r="P32" s="639">
        <v>1100</v>
      </c>
      <c r="Q32" s="665"/>
      <c r="R32" s="643">
        <v>1060</v>
      </c>
      <c r="S32" s="606"/>
      <c r="T32" s="606">
        <f>540/I32*100</f>
        <v>49.09090909090909</v>
      </c>
    </row>
    <row r="33" spans="1:17" ht="15.75">
      <c r="A33" s="17"/>
      <c r="B33" s="248" t="s">
        <v>287</v>
      </c>
      <c r="C33" s="242" t="s">
        <v>270</v>
      </c>
      <c r="D33" s="85">
        <v>525</v>
      </c>
      <c r="E33" s="85">
        <v>881</v>
      </c>
      <c r="F33" s="85">
        <v>370</v>
      </c>
      <c r="G33" s="85">
        <v>269.959</v>
      </c>
      <c r="H33" s="220"/>
      <c r="I33" s="227">
        <f>I32*49.5%</f>
        <v>544.5</v>
      </c>
      <c r="J33" s="624">
        <f t="shared" si="2"/>
        <v>137.05784952529828</v>
      </c>
      <c r="K33" s="649"/>
      <c r="L33" s="649">
        <f t="shared" si="3"/>
        <v>67.95224977043158</v>
      </c>
      <c r="M33" s="227"/>
      <c r="N33" s="236"/>
      <c r="O33" s="7"/>
      <c r="P33" s="227">
        <f>P32*49.5%</f>
        <v>544.5</v>
      </c>
      <c r="Q33" s="301"/>
    </row>
    <row r="34" spans="1:17" ht="15.75">
      <c r="A34" s="17"/>
      <c r="B34" s="248" t="s">
        <v>288</v>
      </c>
      <c r="C34" s="242" t="s">
        <v>270</v>
      </c>
      <c r="D34" s="85">
        <v>303</v>
      </c>
      <c r="E34" s="85">
        <v>50</v>
      </c>
      <c r="F34" s="85">
        <v>23</v>
      </c>
      <c r="G34" s="85">
        <v>123</v>
      </c>
      <c r="H34" s="220"/>
      <c r="I34" s="227">
        <v>100</v>
      </c>
      <c r="J34" s="624">
        <f t="shared" si="2"/>
        <v>18.69918699186992</v>
      </c>
      <c r="K34" s="649"/>
      <c r="L34" s="649">
        <f t="shared" si="3"/>
        <v>23</v>
      </c>
      <c r="M34" s="227"/>
      <c r="N34" s="236"/>
      <c r="O34" s="7"/>
      <c r="P34" s="227">
        <v>100</v>
      </c>
      <c r="Q34" s="301"/>
    </row>
    <row r="35" spans="1:17" ht="15.75">
      <c r="A35" s="17"/>
      <c r="B35" s="248" t="s">
        <v>289</v>
      </c>
      <c r="C35" s="242" t="s">
        <v>270</v>
      </c>
      <c r="D35" s="85">
        <v>32</v>
      </c>
      <c r="E35" s="85">
        <v>53</v>
      </c>
      <c r="F35" s="85">
        <v>14</v>
      </c>
      <c r="G35" s="85">
        <v>23</v>
      </c>
      <c r="H35" s="220"/>
      <c r="I35" s="227">
        <v>15</v>
      </c>
      <c r="J35" s="624">
        <f t="shared" si="2"/>
        <v>60.86956521739131</v>
      </c>
      <c r="K35" s="649"/>
      <c r="L35" s="649">
        <f t="shared" si="3"/>
        <v>93.33333333333333</v>
      </c>
      <c r="M35" s="227"/>
      <c r="N35" s="236"/>
      <c r="O35" s="7"/>
      <c r="P35" s="227">
        <v>15</v>
      </c>
      <c r="Q35" s="301"/>
    </row>
    <row r="36" spans="1:20" s="66" customFormat="1" ht="15.75">
      <c r="A36" s="16" t="s">
        <v>214</v>
      </c>
      <c r="B36" s="230" t="s">
        <v>290</v>
      </c>
      <c r="C36" s="249"/>
      <c r="D36" s="250"/>
      <c r="E36" s="18"/>
      <c r="F36" s="18"/>
      <c r="G36" s="18"/>
      <c r="H36" s="232"/>
      <c r="I36" s="221"/>
      <c r="J36" s="624"/>
      <c r="K36" s="649"/>
      <c r="L36" s="649"/>
      <c r="M36" s="221"/>
      <c r="N36" s="233"/>
      <c r="O36" s="233"/>
      <c r="P36" s="221"/>
      <c r="Q36" s="304"/>
      <c r="R36" s="289"/>
      <c r="S36" s="290"/>
      <c r="T36" s="290"/>
    </row>
    <row r="37" spans="1:20" s="66" customFormat="1" ht="15.75">
      <c r="A37" s="251">
        <v>1</v>
      </c>
      <c r="B37" s="230" t="s">
        <v>291</v>
      </c>
      <c r="C37" s="243" t="s">
        <v>292</v>
      </c>
      <c r="D37" s="18">
        <f>D38+D39+D40</f>
        <v>972</v>
      </c>
      <c r="E37" s="18">
        <f>E38+E39+E40</f>
        <v>982</v>
      </c>
      <c r="F37" s="18">
        <v>403</v>
      </c>
      <c r="G37" s="18">
        <f>G38+G39+G40</f>
        <v>440</v>
      </c>
      <c r="H37" s="232"/>
      <c r="I37" s="221">
        <v>900</v>
      </c>
      <c r="J37" s="624">
        <f t="shared" si="2"/>
        <v>91.5909090909091</v>
      </c>
      <c r="K37" s="649"/>
      <c r="L37" s="649">
        <f t="shared" si="3"/>
        <v>44.77777777777778</v>
      </c>
      <c r="M37" s="221"/>
      <c r="N37" s="233"/>
      <c r="O37" s="12"/>
      <c r="P37" s="221">
        <v>900</v>
      </c>
      <c r="Q37" s="302"/>
      <c r="R37" s="289"/>
      <c r="S37" s="291">
        <f>I37-E37</f>
        <v>-82</v>
      </c>
      <c r="T37" s="290"/>
    </row>
    <row r="38" spans="1:17" ht="15.75">
      <c r="A38" s="17" t="s">
        <v>125</v>
      </c>
      <c r="B38" s="237" t="s">
        <v>293</v>
      </c>
      <c r="C38" s="242" t="s">
        <v>292</v>
      </c>
      <c r="D38" s="85">
        <v>25</v>
      </c>
      <c r="E38" s="85">
        <v>58</v>
      </c>
      <c r="F38" s="85">
        <v>14</v>
      </c>
      <c r="G38" s="85">
        <v>40</v>
      </c>
      <c r="H38" s="220"/>
      <c r="I38" s="227">
        <v>20</v>
      </c>
      <c r="J38" s="624">
        <f t="shared" si="2"/>
        <v>35</v>
      </c>
      <c r="K38" s="649"/>
      <c r="L38" s="649">
        <f t="shared" si="3"/>
        <v>70</v>
      </c>
      <c r="M38" s="227"/>
      <c r="N38" s="236"/>
      <c r="O38" s="7"/>
      <c r="P38" s="227">
        <v>20</v>
      </c>
      <c r="Q38" s="301"/>
    </row>
    <row r="39" spans="1:17" ht="15.75">
      <c r="A39" s="17" t="s">
        <v>131</v>
      </c>
      <c r="B39" s="237" t="s">
        <v>294</v>
      </c>
      <c r="C39" s="242" t="s">
        <v>292</v>
      </c>
      <c r="D39" s="85">
        <v>55</v>
      </c>
      <c r="E39" s="85">
        <v>63</v>
      </c>
      <c r="F39" s="85">
        <v>39</v>
      </c>
      <c r="G39" s="85">
        <v>50</v>
      </c>
      <c r="H39" s="220"/>
      <c r="I39" s="227">
        <v>65</v>
      </c>
      <c r="J39" s="624">
        <f t="shared" si="2"/>
        <v>78</v>
      </c>
      <c r="K39" s="649"/>
      <c r="L39" s="649">
        <f t="shared" si="3"/>
        <v>60</v>
      </c>
      <c r="M39" s="227"/>
      <c r="N39" s="236"/>
      <c r="O39" s="7"/>
      <c r="P39" s="227">
        <v>65</v>
      </c>
      <c r="Q39" s="301"/>
    </row>
    <row r="40" spans="1:17" ht="15.75">
      <c r="A40" s="17" t="s">
        <v>136</v>
      </c>
      <c r="B40" s="237" t="s">
        <v>295</v>
      </c>
      <c r="C40" s="242" t="s">
        <v>292</v>
      </c>
      <c r="D40" s="85">
        <f>D41</f>
        <v>892</v>
      </c>
      <c r="E40" s="85">
        <v>861</v>
      </c>
      <c r="F40" s="85">
        <v>350</v>
      </c>
      <c r="G40" s="85">
        <f>G41</f>
        <v>350</v>
      </c>
      <c r="H40" s="220"/>
      <c r="I40" s="227">
        <f>I37-I38-I39</f>
        <v>815</v>
      </c>
      <c r="J40" s="624">
        <f t="shared" si="2"/>
        <v>100</v>
      </c>
      <c r="K40" s="649"/>
      <c r="L40" s="649">
        <f t="shared" si="3"/>
        <v>42.944785276073624</v>
      </c>
      <c r="M40" s="227"/>
      <c r="N40" s="236"/>
      <c r="O40" s="7"/>
      <c r="P40" s="227">
        <f>P37-P38-P39</f>
        <v>815</v>
      </c>
      <c r="Q40" s="301"/>
    </row>
    <row r="41" spans="1:17" ht="15.75">
      <c r="A41" s="17"/>
      <c r="B41" s="237" t="s">
        <v>296</v>
      </c>
      <c r="C41" s="242" t="s">
        <v>292</v>
      </c>
      <c r="D41" s="85">
        <f>892</f>
        <v>892</v>
      </c>
      <c r="E41" s="85">
        <v>861</v>
      </c>
      <c r="F41" s="85">
        <v>350</v>
      </c>
      <c r="G41" s="85">
        <v>350</v>
      </c>
      <c r="H41" s="220"/>
      <c r="I41" s="227">
        <v>815</v>
      </c>
      <c r="J41" s="624">
        <f t="shared" si="2"/>
        <v>100</v>
      </c>
      <c r="K41" s="649"/>
      <c r="L41" s="649">
        <f t="shared" si="3"/>
        <v>42.944785276073624</v>
      </c>
      <c r="M41" s="227"/>
      <c r="N41" s="236"/>
      <c r="O41" s="7"/>
      <c r="P41" s="227">
        <v>815</v>
      </c>
      <c r="Q41" s="301"/>
    </row>
    <row r="42" spans="1:17" ht="15.75">
      <c r="A42" s="17"/>
      <c r="B42" s="237" t="s">
        <v>297</v>
      </c>
      <c r="C42" s="242" t="s">
        <v>292</v>
      </c>
      <c r="D42" s="85"/>
      <c r="E42" s="85"/>
      <c r="F42" s="85"/>
      <c r="G42" s="85">
        <v>0</v>
      </c>
      <c r="H42" s="220"/>
      <c r="I42" s="227"/>
      <c r="J42" s="624"/>
      <c r="K42" s="649"/>
      <c r="L42" s="649"/>
      <c r="M42" s="227"/>
      <c r="N42" s="236"/>
      <c r="O42" s="7"/>
      <c r="P42" s="227"/>
      <c r="Q42" s="301"/>
    </row>
    <row r="43" spans="1:20" s="468" customFormat="1" ht="15.75">
      <c r="A43" s="668">
        <v>2</v>
      </c>
      <c r="B43" s="660" t="s">
        <v>298</v>
      </c>
      <c r="C43" s="669" t="s">
        <v>270</v>
      </c>
      <c r="D43" s="626">
        <v>3000</v>
      </c>
      <c r="E43" s="626">
        <v>6000</v>
      </c>
      <c r="F43" s="626">
        <v>1350</v>
      </c>
      <c r="G43" s="626">
        <v>2700</v>
      </c>
      <c r="H43" s="640"/>
      <c r="I43" s="639">
        <v>2500</v>
      </c>
      <c r="J43" s="626">
        <f t="shared" si="2"/>
        <v>50</v>
      </c>
      <c r="K43" s="641"/>
      <c r="L43" s="641">
        <f t="shared" si="3"/>
        <v>54</v>
      </c>
      <c r="M43" s="639"/>
      <c r="N43" s="642"/>
      <c r="O43" s="459"/>
      <c r="P43" s="639">
        <v>2500</v>
      </c>
      <c r="Q43" s="665"/>
      <c r="R43" s="643"/>
      <c r="S43" s="606"/>
      <c r="T43" s="606"/>
    </row>
    <row r="44" spans="1:20" s="468" customFormat="1" ht="15.75">
      <c r="A44" s="637" t="s">
        <v>234</v>
      </c>
      <c r="B44" s="660" t="s">
        <v>299</v>
      </c>
      <c r="C44" s="670"/>
      <c r="D44" s="459"/>
      <c r="E44" s="459"/>
      <c r="F44" s="459"/>
      <c r="G44" s="459"/>
      <c r="H44" s="640"/>
      <c r="I44" s="641"/>
      <c r="J44" s="626"/>
      <c r="K44" s="641"/>
      <c r="L44" s="641"/>
      <c r="M44" s="641"/>
      <c r="N44" s="642"/>
      <c r="O44" s="459"/>
      <c r="P44" s="641"/>
      <c r="Q44" s="662"/>
      <c r="R44" s="643"/>
      <c r="S44" s="606"/>
      <c r="T44" s="606"/>
    </row>
    <row r="45" spans="1:18" ht="17.25" customHeight="1">
      <c r="A45" s="17">
        <v>1</v>
      </c>
      <c r="B45" s="237" t="s">
        <v>300</v>
      </c>
      <c r="C45" s="253" t="s">
        <v>265</v>
      </c>
      <c r="D45" s="7">
        <v>440</v>
      </c>
      <c r="E45" s="7">
        <f>I45</f>
        <v>400</v>
      </c>
      <c r="F45" s="7">
        <v>406</v>
      </c>
      <c r="G45" s="7">
        <v>431</v>
      </c>
      <c r="H45" s="220"/>
      <c r="I45" s="227">
        <v>400</v>
      </c>
      <c r="J45" s="624">
        <f t="shared" si="2"/>
        <v>94.19953596287704</v>
      </c>
      <c r="K45" s="649"/>
      <c r="L45" s="649">
        <f t="shared" si="3"/>
        <v>101.49999999999999</v>
      </c>
      <c r="M45" s="227"/>
      <c r="N45" s="236"/>
      <c r="O45" s="7"/>
      <c r="P45" s="227">
        <v>400</v>
      </c>
      <c r="Q45" s="300"/>
      <c r="R45" s="287">
        <v>578</v>
      </c>
    </row>
    <row r="46" spans="1:18" ht="30">
      <c r="A46" s="17">
        <v>2</v>
      </c>
      <c r="B46" s="237" t="s">
        <v>301</v>
      </c>
      <c r="C46" s="253" t="s">
        <v>265</v>
      </c>
      <c r="D46" s="7">
        <v>386</v>
      </c>
      <c r="E46" s="7">
        <f>I46</f>
        <v>340</v>
      </c>
      <c r="F46" s="7">
        <v>352</v>
      </c>
      <c r="G46" s="7">
        <v>374</v>
      </c>
      <c r="H46" s="220"/>
      <c r="I46" s="227">
        <v>340</v>
      </c>
      <c r="J46" s="624">
        <f t="shared" si="2"/>
        <v>94.11764705882352</v>
      </c>
      <c r="K46" s="649"/>
      <c r="L46" s="649">
        <f t="shared" si="3"/>
        <v>103.5294117647059</v>
      </c>
      <c r="M46" s="227"/>
      <c r="N46" s="236"/>
      <c r="O46" s="7"/>
      <c r="P46" s="227">
        <v>340</v>
      </c>
      <c r="Q46" s="300"/>
      <c r="R46" s="287">
        <v>291</v>
      </c>
    </row>
    <row r="47" spans="1:17" ht="15.75">
      <c r="A47" s="17"/>
      <c r="B47" s="237" t="s">
        <v>302</v>
      </c>
      <c r="C47" s="253" t="s">
        <v>23</v>
      </c>
      <c r="D47" s="7">
        <v>1</v>
      </c>
      <c r="E47" s="7">
        <v>1</v>
      </c>
      <c r="F47" s="7">
        <v>1</v>
      </c>
      <c r="G47" s="7">
        <v>1</v>
      </c>
      <c r="H47" s="220"/>
      <c r="I47" s="227">
        <v>1</v>
      </c>
      <c r="J47" s="624">
        <f t="shared" si="2"/>
        <v>100</v>
      </c>
      <c r="K47" s="649"/>
      <c r="L47" s="649">
        <f t="shared" si="3"/>
        <v>100</v>
      </c>
      <c r="M47" s="227"/>
      <c r="N47" s="236"/>
      <c r="O47" s="7"/>
      <c r="P47" s="227">
        <v>1</v>
      </c>
      <c r="Q47" s="300"/>
    </row>
    <row r="48" spans="1:18" ht="15.75">
      <c r="A48" s="17">
        <v>3</v>
      </c>
      <c r="B48" s="237" t="s">
        <v>303</v>
      </c>
      <c r="C48" s="253" t="s">
        <v>261</v>
      </c>
      <c r="D48" s="7">
        <v>21</v>
      </c>
      <c r="E48" s="7">
        <v>21</v>
      </c>
      <c r="F48" s="7">
        <v>21</v>
      </c>
      <c r="G48" s="7">
        <v>21</v>
      </c>
      <c r="H48" s="220">
        <v>18</v>
      </c>
      <c r="I48" s="227">
        <v>21</v>
      </c>
      <c r="J48" s="624">
        <f t="shared" si="2"/>
        <v>100</v>
      </c>
      <c r="K48" s="649"/>
      <c r="L48" s="649">
        <f t="shared" si="3"/>
        <v>100</v>
      </c>
      <c r="M48" s="227"/>
      <c r="N48" s="236"/>
      <c r="O48" s="7"/>
      <c r="P48" s="227">
        <v>21</v>
      </c>
      <c r="Q48" s="300"/>
      <c r="R48" s="287">
        <v>21</v>
      </c>
    </row>
    <row r="49" spans="1:17" ht="15.75">
      <c r="A49" s="17"/>
      <c r="B49" s="237" t="s">
        <v>304</v>
      </c>
      <c r="C49" s="253" t="s">
        <v>23</v>
      </c>
      <c r="D49" s="7">
        <v>100</v>
      </c>
      <c r="E49" s="7">
        <v>100</v>
      </c>
      <c r="F49" s="7">
        <v>100</v>
      </c>
      <c r="G49" s="7">
        <v>100</v>
      </c>
      <c r="H49" s="220"/>
      <c r="I49" s="227">
        <v>100</v>
      </c>
      <c r="J49" s="624">
        <f t="shared" si="2"/>
        <v>100</v>
      </c>
      <c r="K49" s="649"/>
      <c r="L49" s="649">
        <f t="shared" si="3"/>
        <v>100</v>
      </c>
      <c r="M49" s="227"/>
      <c r="N49" s="236"/>
      <c r="O49" s="7"/>
      <c r="P49" s="227">
        <v>100</v>
      </c>
      <c r="Q49" s="300"/>
    </row>
    <row r="50" spans="1:17" ht="30">
      <c r="A50" s="17">
        <v>4</v>
      </c>
      <c r="B50" s="237" t="s">
        <v>305</v>
      </c>
      <c r="C50" s="253" t="s">
        <v>306</v>
      </c>
      <c r="D50" s="7">
        <v>22</v>
      </c>
      <c r="E50" s="7">
        <v>9</v>
      </c>
      <c r="F50" s="7">
        <v>9</v>
      </c>
      <c r="G50" s="7">
        <v>22</v>
      </c>
      <c r="H50" s="220"/>
      <c r="I50" s="227">
        <v>10</v>
      </c>
      <c r="J50" s="624">
        <f t="shared" si="2"/>
        <v>40.909090909090914</v>
      </c>
      <c r="K50" s="649"/>
      <c r="L50" s="649">
        <f t="shared" si="3"/>
        <v>90</v>
      </c>
      <c r="M50" s="227"/>
      <c r="N50" s="236"/>
      <c r="O50" s="7"/>
      <c r="P50" s="227">
        <v>10</v>
      </c>
      <c r="Q50" s="300"/>
    </row>
    <row r="51" spans="1:17" ht="15.75">
      <c r="A51" s="17">
        <v>5</v>
      </c>
      <c r="B51" s="237" t="s">
        <v>307</v>
      </c>
      <c r="C51" s="253" t="s">
        <v>306</v>
      </c>
      <c r="D51" s="7">
        <v>21</v>
      </c>
      <c r="E51" s="7">
        <v>18</v>
      </c>
      <c r="F51" s="7">
        <v>18</v>
      </c>
      <c r="G51" s="7">
        <v>21</v>
      </c>
      <c r="H51" s="220"/>
      <c r="I51" s="227">
        <v>20</v>
      </c>
      <c r="J51" s="624">
        <f t="shared" si="2"/>
        <v>85.71428571428571</v>
      </c>
      <c r="K51" s="649"/>
      <c r="L51" s="649">
        <f t="shared" si="3"/>
        <v>90</v>
      </c>
      <c r="M51" s="227"/>
      <c r="N51" s="236"/>
      <c r="O51" s="7"/>
      <c r="P51" s="227">
        <v>20</v>
      </c>
      <c r="Q51" s="300"/>
    </row>
    <row r="52" spans="1:18" ht="30">
      <c r="A52" s="17">
        <v>6</v>
      </c>
      <c r="B52" s="237" t="s">
        <v>308</v>
      </c>
      <c r="C52" s="253" t="s">
        <v>309</v>
      </c>
      <c r="D52" s="7">
        <v>89</v>
      </c>
      <c r="E52" s="7">
        <v>101</v>
      </c>
      <c r="F52" s="7">
        <v>105</v>
      </c>
      <c r="G52" s="7">
        <v>91</v>
      </c>
      <c r="H52" s="220"/>
      <c r="I52" s="227">
        <v>110</v>
      </c>
      <c r="J52" s="624">
        <f t="shared" si="2"/>
        <v>115.38461538461537</v>
      </c>
      <c r="K52" s="649"/>
      <c r="L52" s="649">
        <f t="shared" si="3"/>
        <v>95.45454545454545</v>
      </c>
      <c r="M52" s="227"/>
      <c r="N52" s="236"/>
      <c r="O52" s="7"/>
      <c r="P52" s="227">
        <v>110</v>
      </c>
      <c r="Q52" s="300"/>
      <c r="R52" s="287">
        <v>76</v>
      </c>
    </row>
    <row r="53" spans="1:17" ht="30">
      <c r="A53" s="17">
        <v>7</v>
      </c>
      <c r="B53" s="237" t="s">
        <v>310</v>
      </c>
      <c r="C53" s="253" t="s">
        <v>265</v>
      </c>
      <c r="D53" s="118" t="s">
        <v>311</v>
      </c>
      <c r="E53" s="254" t="s">
        <v>311</v>
      </c>
      <c r="F53" s="636" t="s">
        <v>311</v>
      </c>
      <c r="G53" s="636" t="s">
        <v>311</v>
      </c>
      <c r="H53" s="220"/>
      <c r="I53" s="256" t="s">
        <v>311</v>
      </c>
      <c r="J53" s="624">
        <v>100</v>
      </c>
      <c r="K53" s="649"/>
      <c r="L53" s="649">
        <v>100</v>
      </c>
      <c r="M53" s="256"/>
      <c r="N53" s="236"/>
      <c r="O53" s="7"/>
      <c r="P53" s="256" t="s">
        <v>311</v>
      </c>
      <c r="Q53" s="305"/>
    </row>
    <row r="54" spans="1:17" ht="15.75">
      <c r="A54" s="17">
        <v>8</v>
      </c>
      <c r="B54" s="237" t="s">
        <v>312</v>
      </c>
      <c r="C54" s="253" t="s">
        <v>265</v>
      </c>
      <c r="D54" s="7">
        <v>12750</v>
      </c>
      <c r="E54" s="7">
        <f aca="true" t="shared" si="4" ref="E54:E61">I54</f>
        <v>13420</v>
      </c>
      <c r="F54" s="7">
        <v>13255</v>
      </c>
      <c r="G54" s="7">
        <v>12846</v>
      </c>
      <c r="H54" s="220"/>
      <c r="I54" s="227">
        <v>13420</v>
      </c>
      <c r="J54" s="624">
        <f t="shared" si="2"/>
        <v>103.18387046551456</v>
      </c>
      <c r="K54" s="649"/>
      <c r="L54" s="649">
        <f t="shared" si="3"/>
        <v>98.77049180327869</v>
      </c>
      <c r="M54" s="227"/>
      <c r="N54" s="236"/>
      <c r="O54" s="7"/>
      <c r="P54" s="227">
        <v>13420</v>
      </c>
      <c r="Q54" s="300"/>
    </row>
    <row r="55" spans="1:17" ht="15.75">
      <c r="A55" s="17">
        <v>9</v>
      </c>
      <c r="B55" s="237" t="s">
        <v>313</v>
      </c>
      <c r="C55" s="253" t="s">
        <v>265</v>
      </c>
      <c r="D55" s="7">
        <v>226</v>
      </c>
      <c r="E55" s="7">
        <v>229</v>
      </c>
      <c r="F55" s="7">
        <v>225</v>
      </c>
      <c r="G55" s="7">
        <v>218</v>
      </c>
      <c r="H55" s="220"/>
      <c r="I55" s="227">
        <v>220</v>
      </c>
      <c r="J55" s="624">
        <f t="shared" si="2"/>
        <v>103.21100917431193</v>
      </c>
      <c r="K55" s="649"/>
      <c r="L55" s="649">
        <f t="shared" si="3"/>
        <v>102.27272727272727</v>
      </c>
      <c r="M55" s="227"/>
      <c r="N55" s="236"/>
      <c r="O55" s="7"/>
      <c r="P55" s="227">
        <v>220</v>
      </c>
      <c r="Q55" s="300"/>
    </row>
    <row r="56" spans="1:17" ht="15.75">
      <c r="A56" s="17">
        <v>10</v>
      </c>
      <c r="B56" s="237" t="s">
        <v>314</v>
      </c>
      <c r="C56" s="253" t="s">
        <v>265</v>
      </c>
      <c r="D56" s="7">
        <v>1850</v>
      </c>
      <c r="E56" s="7">
        <f t="shared" si="4"/>
        <v>1650</v>
      </c>
      <c r="F56" s="7">
        <v>1785</v>
      </c>
      <c r="G56" s="7">
        <v>1817</v>
      </c>
      <c r="H56" s="220"/>
      <c r="I56" s="227">
        <v>1650</v>
      </c>
      <c r="J56" s="624">
        <f t="shared" si="2"/>
        <v>98.23885525591635</v>
      </c>
      <c r="K56" s="649"/>
      <c r="L56" s="649">
        <f t="shared" si="3"/>
        <v>108.18181818181817</v>
      </c>
      <c r="M56" s="227"/>
      <c r="N56" s="236"/>
      <c r="O56" s="7"/>
      <c r="P56" s="227">
        <v>1650</v>
      </c>
      <c r="Q56" s="300"/>
    </row>
    <row r="57" spans="1:17" ht="15.75">
      <c r="A57" s="17">
        <v>11</v>
      </c>
      <c r="B57" s="237" t="s">
        <v>315</v>
      </c>
      <c r="C57" s="253" t="s">
        <v>316</v>
      </c>
      <c r="D57" s="7">
        <v>69</v>
      </c>
      <c r="E57" s="7">
        <f t="shared" si="4"/>
        <v>69</v>
      </c>
      <c r="F57" s="7">
        <v>69</v>
      </c>
      <c r="G57" s="7">
        <v>69</v>
      </c>
      <c r="H57" s="220"/>
      <c r="I57" s="227">
        <v>69</v>
      </c>
      <c r="J57" s="624">
        <f t="shared" si="2"/>
        <v>100</v>
      </c>
      <c r="K57" s="649"/>
      <c r="L57" s="649">
        <f t="shared" si="3"/>
        <v>100</v>
      </c>
      <c r="M57" s="227"/>
      <c r="N57" s="236"/>
      <c r="O57" s="7"/>
      <c r="P57" s="227">
        <v>69</v>
      </c>
      <c r="Q57" s="300"/>
    </row>
    <row r="58" spans="1:17" ht="15.75">
      <c r="A58" s="17">
        <v>12</v>
      </c>
      <c r="B58" s="237" t="s">
        <v>317</v>
      </c>
      <c r="C58" s="253" t="s">
        <v>265</v>
      </c>
      <c r="D58" s="7">
        <v>135</v>
      </c>
      <c r="E58" s="7">
        <f t="shared" si="4"/>
        <v>150</v>
      </c>
      <c r="F58" s="7">
        <v>146</v>
      </c>
      <c r="G58" s="7">
        <v>137</v>
      </c>
      <c r="H58" s="220"/>
      <c r="I58" s="227">
        <v>150</v>
      </c>
      <c r="J58" s="624">
        <f t="shared" si="2"/>
        <v>106.56934306569343</v>
      </c>
      <c r="K58" s="649"/>
      <c r="L58" s="649">
        <f t="shared" si="3"/>
        <v>97.33333333333334</v>
      </c>
      <c r="M58" s="227"/>
      <c r="N58" s="236"/>
      <c r="O58" s="7"/>
      <c r="P58" s="227">
        <v>150</v>
      </c>
      <c r="Q58" s="300"/>
    </row>
    <row r="59" spans="1:17" ht="15.75">
      <c r="A59" s="17">
        <v>13</v>
      </c>
      <c r="B59" s="237" t="s">
        <v>318</v>
      </c>
      <c r="C59" s="253" t="s">
        <v>23</v>
      </c>
      <c r="D59" s="7">
        <v>2</v>
      </c>
      <c r="E59" s="7">
        <f t="shared" si="4"/>
        <v>2</v>
      </c>
      <c r="F59" s="7">
        <v>2</v>
      </c>
      <c r="G59" s="7">
        <v>2</v>
      </c>
      <c r="H59" s="220"/>
      <c r="I59" s="227">
        <v>2</v>
      </c>
      <c r="J59" s="624">
        <f t="shared" si="2"/>
        <v>100</v>
      </c>
      <c r="K59" s="649"/>
      <c r="L59" s="649">
        <f t="shared" si="3"/>
        <v>100</v>
      </c>
      <c r="M59" s="227"/>
      <c r="N59" s="236"/>
      <c r="O59" s="7"/>
      <c r="P59" s="227">
        <v>2</v>
      </c>
      <c r="Q59" s="300"/>
    </row>
    <row r="60" spans="1:17" ht="30">
      <c r="A60" s="17">
        <v>14</v>
      </c>
      <c r="B60" s="237" t="s">
        <v>319</v>
      </c>
      <c r="C60" s="253" t="s">
        <v>242</v>
      </c>
      <c r="D60" s="7">
        <v>325</v>
      </c>
      <c r="E60" s="7">
        <f t="shared" si="4"/>
        <v>320</v>
      </c>
      <c r="F60" s="7">
        <v>317</v>
      </c>
      <c r="G60" s="7">
        <v>318</v>
      </c>
      <c r="H60" s="220"/>
      <c r="I60" s="227">
        <v>320</v>
      </c>
      <c r="J60" s="624">
        <f t="shared" si="2"/>
        <v>99.68553459119497</v>
      </c>
      <c r="K60" s="649"/>
      <c r="L60" s="649">
        <f t="shared" si="3"/>
        <v>99.0625</v>
      </c>
      <c r="M60" s="227"/>
      <c r="N60" s="236"/>
      <c r="O60" s="7"/>
      <c r="P60" s="227">
        <v>320</v>
      </c>
      <c r="Q60" s="300"/>
    </row>
    <row r="61" spans="1:17" ht="15.75">
      <c r="A61" s="17">
        <v>15</v>
      </c>
      <c r="B61" s="237" t="s">
        <v>320</v>
      </c>
      <c r="C61" s="253" t="s">
        <v>23</v>
      </c>
      <c r="D61" s="7">
        <v>100</v>
      </c>
      <c r="E61" s="7">
        <f t="shared" si="4"/>
        <v>100</v>
      </c>
      <c r="F61" s="7">
        <v>100</v>
      </c>
      <c r="G61" s="7">
        <v>100</v>
      </c>
      <c r="H61" s="220"/>
      <c r="I61" s="227">
        <v>100</v>
      </c>
      <c r="J61" s="624">
        <f t="shared" si="2"/>
        <v>100</v>
      </c>
      <c r="K61" s="649"/>
      <c r="L61" s="649">
        <f t="shared" si="3"/>
        <v>100</v>
      </c>
      <c r="M61" s="227"/>
      <c r="N61" s="236"/>
      <c r="O61" s="7"/>
      <c r="P61" s="227">
        <v>100</v>
      </c>
      <c r="Q61" s="300"/>
    </row>
    <row r="62" spans="1:17" ht="15.75">
      <c r="A62" s="16" t="s">
        <v>239</v>
      </c>
      <c r="B62" s="230" t="s">
        <v>321</v>
      </c>
      <c r="C62" s="257"/>
      <c r="D62" s="255"/>
      <c r="E62" s="255"/>
      <c r="F62" s="255"/>
      <c r="G62" s="255"/>
      <c r="H62" s="220"/>
      <c r="I62" s="222"/>
      <c r="J62" s="624"/>
      <c r="K62" s="649"/>
      <c r="L62" s="649"/>
      <c r="M62" s="222"/>
      <c r="N62" s="236"/>
      <c r="O62" s="7"/>
      <c r="P62" s="222"/>
      <c r="Q62" s="300"/>
    </row>
    <row r="63" spans="1:17" ht="15.75">
      <c r="A63" s="16">
        <v>1</v>
      </c>
      <c r="B63" s="230" t="s">
        <v>322</v>
      </c>
      <c r="C63" s="257" t="s">
        <v>13</v>
      </c>
      <c r="D63" s="255"/>
      <c r="E63" s="255"/>
      <c r="F63" s="255"/>
      <c r="G63" s="255"/>
      <c r="H63" s="220"/>
      <c r="I63" s="222"/>
      <c r="J63" s="624"/>
      <c r="K63" s="649"/>
      <c r="L63" s="649"/>
      <c r="M63" s="222"/>
      <c r="N63" s="236"/>
      <c r="O63" s="7"/>
      <c r="P63" s="222"/>
      <c r="Q63" s="300"/>
    </row>
    <row r="64" spans="1:20" s="57" customFormat="1" ht="15.75">
      <c r="A64" s="258" t="s">
        <v>323</v>
      </c>
      <c r="B64" s="259" t="s">
        <v>324</v>
      </c>
      <c r="C64" s="257" t="s">
        <v>265</v>
      </c>
      <c r="D64" s="260">
        <v>1656</v>
      </c>
      <c r="E64" s="260">
        <v>1416</v>
      </c>
      <c r="F64" s="260">
        <v>1297</v>
      </c>
      <c r="G64" s="260">
        <v>1526</v>
      </c>
      <c r="H64" s="261"/>
      <c r="I64" s="262">
        <v>1320</v>
      </c>
      <c r="J64" s="624">
        <f t="shared" si="2"/>
        <v>84.99344692005243</v>
      </c>
      <c r="K64" s="649"/>
      <c r="L64" s="649">
        <f t="shared" si="3"/>
        <v>98.25757575757575</v>
      </c>
      <c r="M64" s="262"/>
      <c r="N64" s="263"/>
      <c r="O64" s="15"/>
      <c r="P64" s="262">
        <v>1320</v>
      </c>
      <c r="Q64" s="306"/>
      <c r="R64" s="388"/>
      <c r="S64" s="121"/>
      <c r="T64" s="121"/>
    </row>
    <row r="65" spans="1:17" ht="15.75">
      <c r="A65" s="17"/>
      <c r="B65" s="237" t="s">
        <v>325</v>
      </c>
      <c r="C65" s="253" t="s">
        <v>265</v>
      </c>
      <c r="D65" s="7">
        <v>46</v>
      </c>
      <c r="E65" s="7">
        <v>36</v>
      </c>
      <c r="F65" s="7">
        <v>36</v>
      </c>
      <c r="G65" s="7">
        <v>39</v>
      </c>
      <c r="H65" s="220"/>
      <c r="I65" s="264">
        <v>36</v>
      </c>
      <c r="J65" s="624">
        <f t="shared" si="2"/>
        <v>92.3076923076923</v>
      </c>
      <c r="K65" s="649"/>
      <c r="L65" s="649">
        <f t="shared" si="3"/>
        <v>100</v>
      </c>
      <c r="M65" s="264"/>
      <c r="N65" s="236"/>
      <c r="O65" s="7"/>
      <c r="P65" s="264">
        <v>36</v>
      </c>
      <c r="Q65" s="300"/>
    </row>
    <row r="66" spans="1:20" s="57" customFormat="1" ht="15.75">
      <c r="A66" s="258" t="s">
        <v>326</v>
      </c>
      <c r="B66" s="259" t="s">
        <v>327</v>
      </c>
      <c r="C66" s="257" t="s">
        <v>265</v>
      </c>
      <c r="D66" s="15">
        <v>91</v>
      </c>
      <c r="E66" s="15">
        <v>80</v>
      </c>
      <c r="F66" s="15">
        <v>93</v>
      </c>
      <c r="G66" s="15">
        <v>41</v>
      </c>
      <c r="H66" s="261">
        <v>60</v>
      </c>
      <c r="I66" s="265">
        <v>90</v>
      </c>
      <c r="J66" s="624">
        <f t="shared" si="2"/>
        <v>226.8292682926829</v>
      </c>
      <c r="K66" s="649">
        <f>F66/H66*100</f>
        <v>155</v>
      </c>
      <c r="L66" s="649">
        <f t="shared" si="3"/>
        <v>103.33333333333334</v>
      </c>
      <c r="M66" s="265"/>
      <c r="N66" s="263"/>
      <c r="O66" s="15"/>
      <c r="P66" s="265">
        <v>90</v>
      </c>
      <c r="Q66" s="306"/>
      <c r="R66" s="388">
        <v>90</v>
      </c>
      <c r="S66" s="121"/>
      <c r="T66" s="121"/>
    </row>
    <row r="67" spans="1:17" ht="15.75">
      <c r="A67" s="17"/>
      <c r="B67" s="237" t="s">
        <v>328</v>
      </c>
      <c r="C67" s="253" t="s">
        <v>265</v>
      </c>
      <c r="D67" s="7">
        <v>41</v>
      </c>
      <c r="E67" s="7">
        <v>80</v>
      </c>
      <c r="F67" s="7">
        <v>33</v>
      </c>
      <c r="G67" s="7">
        <v>41</v>
      </c>
      <c r="H67" s="220"/>
      <c r="I67" s="264">
        <v>30</v>
      </c>
      <c r="J67" s="624">
        <f t="shared" si="2"/>
        <v>80.48780487804879</v>
      </c>
      <c r="K67" s="649"/>
      <c r="L67" s="649">
        <f t="shared" si="3"/>
        <v>110.00000000000001</v>
      </c>
      <c r="M67" s="264"/>
      <c r="N67" s="236"/>
      <c r="O67" s="7"/>
      <c r="P67" s="264">
        <v>30</v>
      </c>
      <c r="Q67" s="300"/>
    </row>
    <row r="68" spans="1:17" ht="15.75">
      <c r="A68" s="17"/>
      <c r="B68" s="237" t="s">
        <v>329</v>
      </c>
      <c r="C68" s="253" t="s">
        <v>265</v>
      </c>
      <c r="D68" s="7">
        <v>50</v>
      </c>
      <c r="E68" s="7">
        <v>0</v>
      </c>
      <c r="F68" s="7">
        <v>60</v>
      </c>
      <c r="G68" s="7">
        <v>0</v>
      </c>
      <c r="H68" s="220"/>
      <c r="I68" s="264">
        <v>60</v>
      </c>
      <c r="J68" s="624"/>
      <c r="K68" s="649"/>
      <c r="L68" s="649">
        <f t="shared" si="3"/>
        <v>100</v>
      </c>
      <c r="M68" s="264"/>
      <c r="N68" s="236"/>
      <c r="O68" s="7"/>
      <c r="P68" s="264">
        <v>60</v>
      </c>
      <c r="Q68" s="300"/>
    </row>
    <row r="69" spans="1:17" ht="30">
      <c r="A69" s="17"/>
      <c r="B69" s="237" t="s">
        <v>330</v>
      </c>
      <c r="C69" s="253" t="s">
        <v>265</v>
      </c>
      <c r="D69" s="7">
        <v>450</v>
      </c>
      <c r="E69" s="7">
        <v>481</v>
      </c>
      <c r="F69" s="7">
        <v>498</v>
      </c>
      <c r="G69" s="7">
        <v>453</v>
      </c>
      <c r="H69" s="220"/>
      <c r="I69" s="264">
        <v>410</v>
      </c>
      <c r="J69" s="624">
        <f t="shared" si="2"/>
        <v>109.93377483443709</v>
      </c>
      <c r="K69" s="649"/>
      <c r="L69" s="649">
        <f t="shared" si="3"/>
        <v>121.46341463414633</v>
      </c>
      <c r="M69" s="264"/>
      <c r="N69" s="236"/>
      <c r="O69" s="7"/>
      <c r="P69" s="264">
        <v>410</v>
      </c>
      <c r="Q69" s="300"/>
    </row>
    <row r="70" spans="1:17" ht="15.75">
      <c r="A70" s="16">
        <v>2</v>
      </c>
      <c r="B70" s="230" t="s">
        <v>331</v>
      </c>
      <c r="C70" s="252"/>
      <c r="D70" s="266"/>
      <c r="E70" s="266"/>
      <c r="F70" s="266"/>
      <c r="G70" s="428"/>
      <c r="H70" s="220"/>
      <c r="I70" s="222"/>
      <c r="J70" s="624"/>
      <c r="K70" s="649"/>
      <c r="L70" s="649"/>
      <c r="M70" s="222"/>
      <c r="N70" s="236"/>
      <c r="O70" s="7"/>
      <c r="P70" s="222"/>
      <c r="Q70" s="300"/>
    </row>
    <row r="71" spans="1:18" ht="15.75">
      <c r="A71" s="17"/>
      <c r="B71" s="237" t="s">
        <v>332</v>
      </c>
      <c r="C71" s="253" t="s">
        <v>333</v>
      </c>
      <c r="D71" s="7">
        <v>25602</v>
      </c>
      <c r="E71" s="7">
        <v>25744</v>
      </c>
      <c r="F71" s="7">
        <v>25744</v>
      </c>
      <c r="G71" s="429">
        <v>25602</v>
      </c>
      <c r="H71" s="220">
        <v>25847</v>
      </c>
      <c r="I71" s="7">
        <v>25847</v>
      </c>
      <c r="J71" s="624">
        <f t="shared" si="2"/>
        <v>100.55464416842435</v>
      </c>
      <c r="K71" s="649">
        <f>F71/H71*100</f>
        <v>99.60150114133168</v>
      </c>
      <c r="L71" s="649">
        <f t="shared" si="3"/>
        <v>99.60150114133168</v>
      </c>
      <c r="M71" s="7"/>
      <c r="N71" s="236"/>
      <c r="O71" s="7"/>
      <c r="P71" s="7">
        <v>25847</v>
      </c>
      <c r="Q71" s="300"/>
      <c r="R71" s="287">
        <v>25620</v>
      </c>
    </row>
    <row r="72" spans="1:18" ht="15.75">
      <c r="A72" s="17"/>
      <c r="B72" s="237" t="s">
        <v>334</v>
      </c>
      <c r="C72" s="253" t="s">
        <v>333</v>
      </c>
      <c r="D72" s="7">
        <v>2997</v>
      </c>
      <c r="E72" s="7">
        <f>+D73</f>
        <v>2449</v>
      </c>
      <c r="F72" s="7"/>
      <c r="G72" s="429">
        <v>2447</v>
      </c>
      <c r="H72" s="220">
        <v>2059</v>
      </c>
      <c r="I72" s="7"/>
      <c r="J72" s="624"/>
      <c r="K72" s="649"/>
      <c r="L72" s="649"/>
      <c r="M72" s="7"/>
      <c r="N72" s="236"/>
      <c r="O72" s="7"/>
      <c r="P72" s="7"/>
      <c r="Q72" s="300"/>
      <c r="R72" s="287">
        <v>2542</v>
      </c>
    </row>
    <row r="73" spans="1:20" s="57" customFormat="1" ht="21" customHeight="1">
      <c r="A73" s="258"/>
      <c r="B73" s="259" t="s">
        <v>669</v>
      </c>
      <c r="C73" s="257"/>
      <c r="D73" s="15">
        <v>2449</v>
      </c>
      <c r="E73" s="15">
        <v>1992</v>
      </c>
      <c r="F73" s="15">
        <v>1985</v>
      </c>
      <c r="G73" s="430"/>
      <c r="H73" s="261">
        <v>1823</v>
      </c>
      <c r="I73" s="15">
        <v>1756</v>
      </c>
      <c r="J73" s="624"/>
      <c r="K73" s="649">
        <f aca="true" t="shared" si="5" ref="K73:K79">F73/H73*100</f>
        <v>108.88645090510147</v>
      </c>
      <c r="L73" s="649">
        <f t="shared" si="3"/>
        <v>113.04100227790433</v>
      </c>
      <c r="M73" s="15"/>
      <c r="N73" s="263"/>
      <c r="O73" s="15"/>
      <c r="P73" s="15">
        <v>1756</v>
      </c>
      <c r="Q73" s="306"/>
      <c r="R73" s="121" t="s">
        <v>654</v>
      </c>
      <c r="S73" s="121"/>
      <c r="T73" s="121"/>
    </row>
    <row r="74" spans="1:20" ht="15.75">
      <c r="A74" s="17"/>
      <c r="B74" s="237" t="s">
        <v>335</v>
      </c>
      <c r="C74" s="253"/>
      <c r="D74" s="241">
        <v>9.57</v>
      </c>
      <c r="E74" s="241">
        <f>+E73/E71*100</f>
        <v>7.737725295214419</v>
      </c>
      <c r="F74" s="241">
        <v>7.71</v>
      </c>
      <c r="G74" s="431">
        <v>9.56</v>
      </c>
      <c r="H74" s="240">
        <v>7.05</v>
      </c>
      <c r="I74" s="241">
        <v>6.74</v>
      </c>
      <c r="J74" s="624">
        <f t="shared" si="2"/>
        <v>80.64853556485355</v>
      </c>
      <c r="K74" s="649">
        <f t="shared" si="5"/>
        <v>109.36170212765957</v>
      </c>
      <c r="L74" s="649">
        <f t="shared" si="3"/>
        <v>114.39169139465875</v>
      </c>
      <c r="M74" s="241"/>
      <c r="N74" s="236"/>
      <c r="O74" s="7"/>
      <c r="P74" s="241">
        <v>6.74</v>
      </c>
      <c r="Q74" s="307"/>
      <c r="R74" s="294">
        <v>8.13</v>
      </c>
      <c r="S74" s="295">
        <f>D74-J74</f>
        <v>-71.07853556485355</v>
      </c>
      <c r="T74" s="295">
        <f>I74/9.56*100</f>
        <v>70.50209205020921</v>
      </c>
    </row>
    <row r="75" spans="1:18" ht="15.75">
      <c r="A75" s="17"/>
      <c r="B75" s="237" t="s">
        <v>336</v>
      </c>
      <c r="C75" s="253" t="s">
        <v>333</v>
      </c>
      <c r="D75" s="7">
        <v>734</v>
      </c>
      <c r="E75" s="7">
        <v>453</v>
      </c>
      <c r="F75" s="7">
        <v>8</v>
      </c>
      <c r="G75" s="429">
        <v>3</v>
      </c>
      <c r="H75" s="220">
        <v>311</v>
      </c>
      <c r="I75" s="7">
        <v>311</v>
      </c>
      <c r="J75" s="624">
        <f t="shared" si="2"/>
        <v>266.66666666666663</v>
      </c>
      <c r="K75" s="649">
        <f t="shared" si="5"/>
        <v>2.572347266881029</v>
      </c>
      <c r="L75" s="649">
        <f t="shared" si="3"/>
        <v>2.572347266881029</v>
      </c>
      <c r="M75" s="7"/>
      <c r="N75" s="236"/>
      <c r="O75" s="7"/>
      <c r="P75" s="7">
        <v>311</v>
      </c>
      <c r="Q75" s="301"/>
      <c r="R75" s="287">
        <v>540</v>
      </c>
    </row>
    <row r="76" spans="1:18" ht="15.75">
      <c r="A76" s="17"/>
      <c r="B76" s="237" t="s">
        <v>337</v>
      </c>
      <c r="C76" s="267" t="s">
        <v>338</v>
      </c>
      <c r="D76" s="7">
        <v>2356</v>
      </c>
      <c r="E76" s="7">
        <v>2348</v>
      </c>
      <c r="F76" s="7">
        <v>2342</v>
      </c>
      <c r="G76" s="429">
        <v>2356</v>
      </c>
      <c r="H76" s="220">
        <v>2715</v>
      </c>
      <c r="I76" s="7">
        <v>2715</v>
      </c>
      <c r="J76" s="624">
        <f t="shared" si="2"/>
        <v>99.40577249575551</v>
      </c>
      <c r="K76" s="649">
        <f t="shared" si="5"/>
        <v>86.26151012891344</v>
      </c>
      <c r="L76" s="649">
        <f t="shared" si="3"/>
        <v>86.26151012891344</v>
      </c>
      <c r="M76" s="7"/>
      <c r="N76" s="236"/>
      <c r="O76" s="7"/>
      <c r="P76" s="7">
        <v>2715</v>
      </c>
      <c r="Q76" s="301"/>
      <c r="R76" s="287">
        <v>2645</v>
      </c>
    </row>
    <row r="77" spans="1:18" ht="15.75">
      <c r="A77" s="17"/>
      <c r="B77" s="237" t="s">
        <v>339</v>
      </c>
      <c r="C77" s="267" t="s">
        <v>338</v>
      </c>
      <c r="D77" s="7">
        <v>186</v>
      </c>
      <c r="E77" s="7">
        <v>63</v>
      </c>
      <c r="F77" s="7">
        <v>1</v>
      </c>
      <c r="G77" s="429">
        <v>1</v>
      </c>
      <c r="H77" s="220">
        <v>75</v>
      </c>
      <c r="I77" s="85">
        <v>75</v>
      </c>
      <c r="J77" s="624">
        <f t="shared" si="2"/>
        <v>100</v>
      </c>
      <c r="K77" s="649">
        <f t="shared" si="5"/>
        <v>1.3333333333333335</v>
      </c>
      <c r="L77" s="649">
        <f t="shared" si="3"/>
        <v>1.3333333333333335</v>
      </c>
      <c r="M77" s="85"/>
      <c r="N77" s="236"/>
      <c r="O77" s="7"/>
      <c r="P77" s="85">
        <v>75</v>
      </c>
      <c r="Q77" s="308"/>
      <c r="R77" s="287">
        <v>81</v>
      </c>
    </row>
    <row r="78" spans="1:18" ht="15.75">
      <c r="A78" s="17"/>
      <c r="B78" s="237" t="s">
        <v>340</v>
      </c>
      <c r="C78" s="268" t="s">
        <v>23</v>
      </c>
      <c r="D78" s="241">
        <v>9.2</v>
      </c>
      <c r="E78" s="241">
        <f>+E76/E71*100</f>
        <v>9.120571783716594</v>
      </c>
      <c r="F78" s="241">
        <v>9.1</v>
      </c>
      <c r="G78" s="431">
        <v>9.2</v>
      </c>
      <c r="H78" s="240">
        <v>10.5</v>
      </c>
      <c r="I78" s="239">
        <f>+I76/I71*100</f>
        <v>10.504120400820211</v>
      </c>
      <c r="J78" s="624">
        <f t="shared" si="2"/>
        <v>98.91304347826087</v>
      </c>
      <c r="K78" s="649">
        <f t="shared" si="5"/>
        <v>86.66666666666666</v>
      </c>
      <c r="L78" s="649">
        <f t="shared" si="3"/>
        <v>86.63267034990791</v>
      </c>
      <c r="M78" s="239"/>
      <c r="N78" s="236"/>
      <c r="O78" s="7"/>
      <c r="P78" s="239">
        <f>+P76/P71*100</f>
        <v>10.504120400820211</v>
      </c>
      <c r="Q78" s="309"/>
      <c r="R78" s="294">
        <v>10.32</v>
      </c>
    </row>
    <row r="79" spans="1:18" ht="15.75">
      <c r="A79" s="17"/>
      <c r="B79" s="237" t="s">
        <v>341</v>
      </c>
      <c r="C79" s="268" t="s">
        <v>23</v>
      </c>
      <c r="D79" s="241">
        <v>13</v>
      </c>
      <c r="E79" s="241">
        <v>11</v>
      </c>
      <c r="F79" s="241">
        <v>11</v>
      </c>
      <c r="G79" s="431">
        <v>13</v>
      </c>
      <c r="H79" s="240">
        <v>10</v>
      </c>
      <c r="I79" s="241">
        <v>9</v>
      </c>
      <c r="J79" s="624">
        <f t="shared" si="2"/>
        <v>84.61538461538461</v>
      </c>
      <c r="K79" s="649">
        <f t="shared" si="5"/>
        <v>110.00000000000001</v>
      </c>
      <c r="L79" s="649">
        <f t="shared" si="3"/>
        <v>122.22222222222223</v>
      </c>
      <c r="M79" s="241"/>
      <c r="N79" s="236"/>
      <c r="O79" s="7"/>
      <c r="P79" s="241">
        <v>9</v>
      </c>
      <c r="Q79" s="301"/>
      <c r="R79" s="294">
        <v>10.32</v>
      </c>
    </row>
    <row r="80" spans="1:20" s="66" customFormat="1" ht="15.75">
      <c r="A80" s="16">
        <v>3</v>
      </c>
      <c r="B80" s="284" t="s">
        <v>640</v>
      </c>
      <c r="C80" s="107"/>
      <c r="D80" s="12"/>
      <c r="E80" s="12"/>
      <c r="F80" s="12"/>
      <c r="G80" s="430"/>
      <c r="H80" s="232"/>
      <c r="I80" s="12"/>
      <c r="J80" s="624"/>
      <c r="K80" s="649"/>
      <c r="L80" s="649"/>
      <c r="M80" s="12"/>
      <c r="N80" s="233"/>
      <c r="O80" s="12"/>
      <c r="P80" s="12"/>
      <c r="Q80" s="302"/>
      <c r="R80" s="289"/>
      <c r="S80" s="290"/>
      <c r="T80" s="290"/>
    </row>
    <row r="81" spans="1:17" ht="15.75">
      <c r="A81" s="17"/>
      <c r="B81" s="269" t="s">
        <v>644</v>
      </c>
      <c r="C81" s="97" t="s">
        <v>23</v>
      </c>
      <c r="D81" s="241">
        <v>9.57</v>
      </c>
      <c r="E81" s="241">
        <f>+E74</f>
        <v>7.737725295214419</v>
      </c>
      <c r="F81" s="241">
        <v>7.71</v>
      </c>
      <c r="G81" s="431">
        <v>9.57</v>
      </c>
      <c r="H81" s="240"/>
      <c r="I81" s="241">
        <f>+I74</f>
        <v>6.74</v>
      </c>
      <c r="J81" s="624">
        <f aca="true" t="shared" si="6" ref="J81:J110">F81/G81*100</f>
        <v>80.56426332288402</v>
      </c>
      <c r="K81" s="649"/>
      <c r="L81" s="649">
        <f aca="true" t="shared" si="7" ref="L81:L110">F81/I81*100</f>
        <v>114.39169139465875</v>
      </c>
      <c r="M81" s="241"/>
      <c r="N81" s="236"/>
      <c r="O81" s="7"/>
      <c r="P81" s="241">
        <f>+P74</f>
        <v>6.74</v>
      </c>
      <c r="Q81" s="307"/>
    </row>
    <row r="82" spans="1:20" s="57" customFormat="1" ht="15.75">
      <c r="A82" s="258"/>
      <c r="B82" s="270" t="s">
        <v>645</v>
      </c>
      <c r="C82" s="271" t="s">
        <v>23</v>
      </c>
      <c r="D82" s="272">
        <v>2.33</v>
      </c>
      <c r="E82" s="272">
        <f>+D81-E81</f>
        <v>1.832274704785581</v>
      </c>
      <c r="F82" s="272">
        <v>0.03</v>
      </c>
      <c r="G82" s="432">
        <v>2.33</v>
      </c>
      <c r="H82" s="273"/>
      <c r="I82" s="272">
        <f>M82</f>
        <v>0</v>
      </c>
      <c r="J82" s="624">
        <f t="shared" si="6"/>
        <v>1.2875536480686696</v>
      </c>
      <c r="K82" s="649"/>
      <c r="L82" s="649"/>
      <c r="M82" s="272"/>
      <c r="N82" s="263"/>
      <c r="O82" s="15"/>
      <c r="P82" s="272">
        <f>T82</f>
        <v>0</v>
      </c>
      <c r="Q82" s="310"/>
      <c r="R82" s="388"/>
      <c r="S82" s="121"/>
      <c r="T82" s="121"/>
    </row>
    <row r="83" spans="1:17" ht="31.5">
      <c r="A83" s="17"/>
      <c r="B83" s="269" t="s">
        <v>646</v>
      </c>
      <c r="C83" s="97" t="s">
        <v>641</v>
      </c>
      <c r="D83" s="7"/>
      <c r="E83" s="7"/>
      <c r="F83" s="7"/>
      <c r="G83" s="7"/>
      <c r="H83" s="220"/>
      <c r="I83" s="226"/>
      <c r="J83" s="624"/>
      <c r="K83" s="649"/>
      <c r="L83" s="649"/>
      <c r="M83" s="226"/>
      <c r="N83" s="236"/>
      <c r="O83" s="7"/>
      <c r="P83" s="226"/>
      <c r="Q83" s="301"/>
    </row>
    <row r="84" spans="1:17" ht="31.5">
      <c r="A84" s="17"/>
      <c r="B84" s="269" t="s">
        <v>647</v>
      </c>
      <c r="C84" s="97" t="s">
        <v>23</v>
      </c>
      <c r="D84" s="241">
        <f>12/21*100</f>
        <v>57.14285714285714</v>
      </c>
      <c r="E84" s="241">
        <f>12/21*100</f>
        <v>57.14285714285714</v>
      </c>
      <c r="F84" s="241">
        <f>E84</f>
        <v>57.14285714285714</v>
      </c>
      <c r="G84" s="241">
        <f>16/21*100</f>
        <v>76.19047619047619</v>
      </c>
      <c r="H84" s="240"/>
      <c r="I84" s="241">
        <f>13/21*100</f>
        <v>61.904761904761905</v>
      </c>
      <c r="J84" s="624">
        <f t="shared" si="6"/>
        <v>75</v>
      </c>
      <c r="K84" s="649"/>
      <c r="L84" s="649">
        <f t="shared" si="7"/>
        <v>92.3076923076923</v>
      </c>
      <c r="M84" s="241"/>
      <c r="N84" s="236"/>
      <c r="O84" s="7"/>
      <c r="P84" s="241">
        <f>13/21*100</f>
        <v>61.904761904761905</v>
      </c>
      <c r="Q84" s="307"/>
    </row>
    <row r="85" spans="1:17" ht="28.5" customHeight="1">
      <c r="A85" s="17"/>
      <c r="B85" s="269" t="s">
        <v>648</v>
      </c>
      <c r="C85" s="97" t="s">
        <v>23</v>
      </c>
      <c r="D85" s="7"/>
      <c r="E85" s="245">
        <v>0</v>
      </c>
      <c r="F85" s="245"/>
      <c r="G85" s="7"/>
      <c r="H85" s="220"/>
      <c r="I85" s="241">
        <f>1/21*100</f>
        <v>4.761904761904762</v>
      </c>
      <c r="J85" s="624"/>
      <c r="K85" s="649"/>
      <c r="L85" s="649"/>
      <c r="M85" s="241"/>
      <c r="N85" s="236"/>
      <c r="O85" s="7"/>
      <c r="P85" s="241">
        <f>1/21*100</f>
        <v>4.761904761904762</v>
      </c>
      <c r="Q85" s="307"/>
    </row>
    <row r="86" spans="1:17" ht="27" customHeight="1">
      <c r="A86" s="17"/>
      <c r="B86" s="269" t="s">
        <v>649</v>
      </c>
      <c r="C86" s="97" t="s">
        <v>23</v>
      </c>
      <c r="D86" s="7"/>
      <c r="E86" s="7">
        <v>0</v>
      </c>
      <c r="F86" s="7"/>
      <c r="G86" s="7"/>
      <c r="H86" s="220"/>
      <c r="I86" s="7">
        <v>0</v>
      </c>
      <c r="J86" s="624"/>
      <c r="K86" s="649"/>
      <c r="L86" s="649"/>
      <c r="M86" s="7"/>
      <c r="N86" s="236"/>
      <c r="O86" s="7"/>
      <c r="P86" s="7">
        <v>0</v>
      </c>
      <c r="Q86" s="301"/>
    </row>
    <row r="87" spans="1:17" ht="31.5">
      <c r="A87" s="17"/>
      <c r="B87" s="269" t="s">
        <v>650</v>
      </c>
      <c r="C87" s="97" t="s">
        <v>261</v>
      </c>
      <c r="D87" s="7">
        <v>12</v>
      </c>
      <c r="E87" s="7">
        <v>12</v>
      </c>
      <c r="F87" s="7">
        <v>12</v>
      </c>
      <c r="G87" s="7"/>
      <c r="H87" s="220"/>
      <c r="I87" s="7">
        <v>12</v>
      </c>
      <c r="J87" s="624"/>
      <c r="K87" s="649"/>
      <c r="L87" s="649">
        <f t="shared" si="7"/>
        <v>100</v>
      </c>
      <c r="M87" s="7"/>
      <c r="N87" s="236"/>
      <c r="O87" s="7"/>
      <c r="P87" s="7">
        <v>12</v>
      </c>
      <c r="Q87" s="307"/>
    </row>
    <row r="88" spans="1:20" s="57" customFormat="1" ht="33" customHeight="1">
      <c r="A88" s="258"/>
      <c r="B88" s="270" t="s">
        <v>642</v>
      </c>
      <c r="C88" s="271" t="s">
        <v>23</v>
      </c>
      <c r="D88" s="272">
        <f>12/21*100</f>
        <v>57.14285714285714</v>
      </c>
      <c r="E88" s="272">
        <f>12/21*100</f>
        <v>57.14285714285714</v>
      </c>
      <c r="F88" s="272">
        <f>E88</f>
        <v>57.14285714285714</v>
      </c>
      <c r="G88" s="241">
        <f>16/21*100</f>
        <v>76.19047619047619</v>
      </c>
      <c r="H88" s="273"/>
      <c r="I88" s="272">
        <f>I87/21*100</f>
        <v>57.14285714285714</v>
      </c>
      <c r="J88" s="624">
        <f t="shared" si="6"/>
        <v>75</v>
      </c>
      <c r="K88" s="649"/>
      <c r="L88" s="649">
        <f t="shared" si="7"/>
        <v>100</v>
      </c>
      <c r="M88" s="272"/>
      <c r="N88" s="263"/>
      <c r="O88" s="15"/>
      <c r="P88" s="272">
        <f>P87/21*100</f>
        <v>57.14285714285714</v>
      </c>
      <c r="Q88" s="310"/>
      <c r="R88" s="388"/>
      <c r="S88" s="121"/>
      <c r="T88" s="121"/>
    </row>
    <row r="89" spans="1:17" ht="31.5">
      <c r="A89" s="17"/>
      <c r="B89" s="269" t="s">
        <v>651</v>
      </c>
      <c r="C89" s="97" t="s">
        <v>261</v>
      </c>
      <c r="D89" s="7"/>
      <c r="E89" s="7"/>
      <c r="F89" s="7"/>
      <c r="G89" s="7">
        <v>1</v>
      </c>
      <c r="H89" s="220"/>
      <c r="I89" s="226">
        <v>1</v>
      </c>
      <c r="J89" s="624"/>
      <c r="K89" s="649"/>
      <c r="L89" s="649"/>
      <c r="M89" s="226"/>
      <c r="N89" s="236"/>
      <c r="O89" s="7"/>
      <c r="P89" s="226">
        <v>1</v>
      </c>
      <c r="Q89" s="301"/>
    </row>
    <row r="90" spans="1:20" s="57" customFormat="1" ht="47.25">
      <c r="A90" s="258"/>
      <c r="B90" s="274" t="s">
        <v>643</v>
      </c>
      <c r="C90" s="271" t="s">
        <v>23</v>
      </c>
      <c r="D90" s="272"/>
      <c r="E90" s="275"/>
      <c r="F90" s="275"/>
      <c r="G90" s="272">
        <f>1/21*100</f>
        <v>4.761904761904762</v>
      </c>
      <c r="H90" s="273"/>
      <c r="I90" s="109">
        <v>4.76</v>
      </c>
      <c r="J90" s="624"/>
      <c r="K90" s="649"/>
      <c r="L90" s="649"/>
      <c r="M90" s="109"/>
      <c r="N90" s="263"/>
      <c r="O90" s="15"/>
      <c r="P90" s="109">
        <v>4.76</v>
      </c>
      <c r="Q90" s="310"/>
      <c r="R90" s="292"/>
      <c r="S90" s="293"/>
      <c r="T90" s="293"/>
    </row>
    <row r="91" spans="1:17" ht="15.75">
      <c r="A91" s="10">
        <v>4</v>
      </c>
      <c r="B91" s="11" t="s">
        <v>564</v>
      </c>
      <c r="C91" s="268"/>
      <c r="D91" s="7"/>
      <c r="E91" s="7"/>
      <c r="F91" s="7"/>
      <c r="G91" s="7"/>
      <c r="H91" s="220"/>
      <c r="I91" s="222"/>
      <c r="J91" s="624"/>
      <c r="K91" s="649"/>
      <c r="L91" s="649"/>
      <c r="M91" s="222"/>
      <c r="N91" s="236"/>
      <c r="O91" s="7"/>
      <c r="P91" s="222"/>
      <c r="Q91" s="300"/>
    </row>
    <row r="92" spans="1:20" s="57" customFormat="1" ht="15.75">
      <c r="A92" s="34"/>
      <c r="B92" s="276" t="s">
        <v>565</v>
      </c>
      <c r="C92" s="277" t="s">
        <v>261</v>
      </c>
      <c r="D92" s="15">
        <v>21</v>
      </c>
      <c r="E92" s="15">
        <v>21</v>
      </c>
      <c r="F92" s="15">
        <v>21</v>
      </c>
      <c r="G92" s="15">
        <v>21</v>
      </c>
      <c r="H92" s="261"/>
      <c r="I92" s="15">
        <v>21</v>
      </c>
      <c r="J92" s="624">
        <f t="shared" si="6"/>
        <v>100</v>
      </c>
      <c r="K92" s="649"/>
      <c r="L92" s="649">
        <f t="shared" si="7"/>
        <v>100</v>
      </c>
      <c r="M92" s="15"/>
      <c r="N92" s="263"/>
      <c r="O92" s="15"/>
      <c r="P92" s="15">
        <v>21</v>
      </c>
      <c r="Q92" s="311"/>
      <c r="R92" s="292"/>
      <c r="S92" s="293"/>
      <c r="T92" s="293"/>
    </row>
    <row r="93" spans="1:17" ht="15.75">
      <c r="A93" s="19"/>
      <c r="B93" s="278" t="s">
        <v>566</v>
      </c>
      <c r="C93" s="279" t="s">
        <v>23</v>
      </c>
      <c r="D93" s="7">
        <v>100</v>
      </c>
      <c r="E93" s="7">
        <v>100</v>
      </c>
      <c r="F93" s="7">
        <v>100</v>
      </c>
      <c r="G93" s="7">
        <v>100</v>
      </c>
      <c r="H93" s="220"/>
      <c r="I93" s="7">
        <v>100</v>
      </c>
      <c r="J93" s="624">
        <f t="shared" si="6"/>
        <v>100</v>
      </c>
      <c r="K93" s="649"/>
      <c r="L93" s="649">
        <f t="shared" si="7"/>
        <v>100</v>
      </c>
      <c r="M93" s="7"/>
      <c r="N93" s="236"/>
      <c r="O93" s="7"/>
      <c r="P93" s="7">
        <v>100</v>
      </c>
      <c r="Q93" s="301"/>
    </row>
    <row r="94" spans="1:17" ht="15.75">
      <c r="A94" s="19"/>
      <c r="B94" s="14" t="s">
        <v>567</v>
      </c>
      <c r="C94" s="279" t="s">
        <v>23</v>
      </c>
      <c r="D94" s="7">
        <v>100</v>
      </c>
      <c r="E94" s="7">
        <v>100</v>
      </c>
      <c r="F94" s="7">
        <v>100</v>
      </c>
      <c r="G94" s="7">
        <v>100</v>
      </c>
      <c r="H94" s="220"/>
      <c r="I94" s="7">
        <v>100</v>
      </c>
      <c r="J94" s="624">
        <f t="shared" si="6"/>
        <v>100</v>
      </c>
      <c r="K94" s="649"/>
      <c r="L94" s="649">
        <f t="shared" si="7"/>
        <v>100</v>
      </c>
      <c r="M94" s="7"/>
      <c r="N94" s="236"/>
      <c r="O94" s="7"/>
      <c r="P94" s="7">
        <v>100</v>
      </c>
      <c r="Q94" s="301"/>
    </row>
    <row r="95" spans="1:17" ht="15.75">
      <c r="A95" s="19"/>
      <c r="B95" s="14" t="s">
        <v>568</v>
      </c>
      <c r="C95" s="279" t="s">
        <v>23</v>
      </c>
      <c r="D95" s="7">
        <v>100</v>
      </c>
      <c r="E95" s="7">
        <v>100</v>
      </c>
      <c r="F95" s="7">
        <v>100</v>
      </c>
      <c r="G95" s="7">
        <v>100</v>
      </c>
      <c r="H95" s="220"/>
      <c r="I95" s="7">
        <v>100</v>
      </c>
      <c r="J95" s="624">
        <f t="shared" si="6"/>
        <v>100</v>
      </c>
      <c r="K95" s="649"/>
      <c r="L95" s="649">
        <f t="shared" si="7"/>
        <v>100</v>
      </c>
      <c r="M95" s="7"/>
      <c r="N95" s="236"/>
      <c r="O95" s="7"/>
      <c r="P95" s="7">
        <v>100</v>
      </c>
      <c r="Q95" s="301"/>
    </row>
    <row r="96" spans="1:17" ht="15.75">
      <c r="A96" s="19"/>
      <c r="B96" s="278" t="s">
        <v>569</v>
      </c>
      <c r="C96" s="280" t="s">
        <v>23</v>
      </c>
      <c r="D96" s="7">
        <v>96</v>
      </c>
      <c r="E96" s="7">
        <v>97</v>
      </c>
      <c r="F96" s="7">
        <v>97</v>
      </c>
      <c r="G96" s="7">
        <v>96</v>
      </c>
      <c r="H96" s="220"/>
      <c r="I96" s="7">
        <v>97</v>
      </c>
      <c r="J96" s="624">
        <f t="shared" si="6"/>
        <v>101.04166666666667</v>
      </c>
      <c r="K96" s="649"/>
      <c r="L96" s="649">
        <f t="shared" si="7"/>
        <v>100</v>
      </c>
      <c r="M96" s="7"/>
      <c r="N96" s="236"/>
      <c r="O96" s="7"/>
      <c r="P96" s="7">
        <v>97</v>
      </c>
      <c r="Q96" s="301"/>
    </row>
    <row r="97" spans="1:17" ht="15.75">
      <c r="A97" s="19"/>
      <c r="B97" s="278" t="s">
        <v>676</v>
      </c>
      <c r="C97" s="279" t="s">
        <v>23</v>
      </c>
      <c r="D97" s="7">
        <v>94</v>
      </c>
      <c r="E97" s="7">
        <v>95</v>
      </c>
      <c r="F97" s="7">
        <v>95</v>
      </c>
      <c r="G97" s="7">
        <v>94</v>
      </c>
      <c r="H97" s="220"/>
      <c r="I97" s="7">
        <v>96</v>
      </c>
      <c r="J97" s="624">
        <f t="shared" si="6"/>
        <v>101.06382978723406</v>
      </c>
      <c r="K97" s="649"/>
      <c r="L97" s="649">
        <f t="shared" si="7"/>
        <v>98.95833333333334</v>
      </c>
      <c r="M97" s="7"/>
      <c r="N97" s="236"/>
      <c r="O97" s="7"/>
      <c r="P97" s="7">
        <v>96</v>
      </c>
      <c r="Q97" s="301"/>
    </row>
    <row r="98" spans="1:20" s="468" customFormat="1" ht="16.5" customHeight="1">
      <c r="A98" s="562" t="s">
        <v>249</v>
      </c>
      <c r="B98" s="625" t="s">
        <v>342</v>
      </c>
      <c r="C98" s="653"/>
      <c r="D98" s="459"/>
      <c r="E98" s="459"/>
      <c r="F98" s="459"/>
      <c r="G98" s="459"/>
      <c r="H98" s="640"/>
      <c r="I98" s="641"/>
      <c r="J98" s="626"/>
      <c r="K98" s="641"/>
      <c r="L98" s="641"/>
      <c r="M98" s="641"/>
      <c r="N98" s="642"/>
      <c r="O98" s="459"/>
      <c r="P98" s="641"/>
      <c r="Q98" s="662"/>
      <c r="R98" s="643"/>
      <c r="S98" s="606"/>
      <c r="T98" s="606"/>
    </row>
    <row r="99" spans="1:20" s="468" customFormat="1" ht="15.75">
      <c r="A99" s="562">
        <v>1</v>
      </c>
      <c r="B99" s="625" t="s">
        <v>343</v>
      </c>
      <c r="C99" s="653" t="s">
        <v>242</v>
      </c>
      <c r="D99" s="459">
        <v>4413</v>
      </c>
      <c r="E99" s="459">
        <v>6155</v>
      </c>
      <c r="F99" s="459">
        <v>6160</v>
      </c>
      <c r="G99" s="459">
        <v>6013</v>
      </c>
      <c r="H99" s="640">
        <v>5044</v>
      </c>
      <c r="I99" s="459">
        <v>6160</v>
      </c>
      <c r="J99" s="626">
        <f t="shared" si="6"/>
        <v>102.44470314318977</v>
      </c>
      <c r="K99" s="641">
        <f>F99/H99*100</f>
        <v>122.12529738302935</v>
      </c>
      <c r="L99" s="641">
        <f t="shared" si="7"/>
        <v>100</v>
      </c>
      <c r="M99" s="459"/>
      <c r="N99" s="642"/>
      <c r="O99" s="459"/>
      <c r="P99" s="459">
        <v>6160</v>
      </c>
      <c r="Q99" s="662"/>
      <c r="R99" s="643">
        <v>6013</v>
      </c>
      <c r="S99" s="606" t="s">
        <v>660</v>
      </c>
      <c r="T99" s="606"/>
    </row>
    <row r="100" spans="1:18" ht="15.75">
      <c r="A100" s="19"/>
      <c r="B100" s="14" t="s">
        <v>344</v>
      </c>
      <c r="C100" s="225" t="s">
        <v>242</v>
      </c>
      <c r="D100" s="7">
        <v>4342</v>
      </c>
      <c r="E100" s="7">
        <f>E99*95.5%</f>
        <v>5878.025</v>
      </c>
      <c r="F100" s="7">
        <v>5933</v>
      </c>
      <c r="G100" s="7">
        <v>5516</v>
      </c>
      <c r="H100" s="220">
        <v>4792</v>
      </c>
      <c r="I100" s="7">
        <f>I99*96%</f>
        <v>5913.599999999999</v>
      </c>
      <c r="J100" s="624">
        <f t="shared" si="6"/>
        <v>107.5598259608412</v>
      </c>
      <c r="K100" s="649">
        <f>F100/H100*100</f>
        <v>123.81051752921537</v>
      </c>
      <c r="L100" s="649">
        <f t="shared" si="7"/>
        <v>100.32805735930737</v>
      </c>
      <c r="M100" s="7"/>
      <c r="N100" s="236"/>
      <c r="O100" s="7"/>
      <c r="P100" s="7">
        <f>P99*96%</f>
        <v>5913.599999999999</v>
      </c>
      <c r="Q100" s="300"/>
      <c r="R100" s="287">
        <v>5712</v>
      </c>
    </row>
    <row r="101" spans="1:17" ht="15.75">
      <c r="A101" s="19"/>
      <c r="B101" s="14" t="s">
        <v>345</v>
      </c>
      <c r="C101" s="225" t="s">
        <v>23</v>
      </c>
      <c r="D101" s="7">
        <f>D100/D99*100</f>
        <v>98.39111715386359</v>
      </c>
      <c r="E101" s="7">
        <v>95.5</v>
      </c>
      <c r="F101" s="245">
        <f>F100/F99*100</f>
        <v>96.31493506493507</v>
      </c>
      <c r="G101" s="7">
        <f>G100/G99*100</f>
        <v>91.73457508731082</v>
      </c>
      <c r="H101" s="241">
        <v>9.28</v>
      </c>
      <c r="I101" s="7">
        <v>96</v>
      </c>
      <c r="J101" s="624">
        <f t="shared" si="6"/>
        <v>104.99305738677569</v>
      </c>
      <c r="K101" s="649">
        <f>F101/H101*100</f>
        <v>1037.8764554411107</v>
      </c>
      <c r="L101" s="649">
        <f t="shared" si="7"/>
        <v>100.32805735930737</v>
      </c>
      <c r="M101" s="7"/>
      <c r="N101" s="236"/>
      <c r="O101" s="7"/>
      <c r="P101" s="7">
        <v>96</v>
      </c>
      <c r="Q101" s="300"/>
    </row>
    <row r="102" spans="1:18" ht="31.5">
      <c r="A102" s="19"/>
      <c r="B102" s="281" t="s">
        <v>583</v>
      </c>
      <c r="C102" s="225" t="s">
        <v>23</v>
      </c>
      <c r="D102" s="7"/>
      <c r="E102" s="241">
        <v>11.67</v>
      </c>
      <c r="F102" s="241"/>
      <c r="G102" s="7"/>
      <c r="H102" s="240"/>
      <c r="I102" s="282"/>
      <c r="J102" s="624"/>
      <c r="K102" s="649"/>
      <c r="L102" s="649"/>
      <c r="M102" s="282"/>
      <c r="N102" s="236"/>
      <c r="O102" s="7"/>
      <c r="P102" s="282"/>
      <c r="Q102" s="300"/>
      <c r="R102" s="287">
        <v>11.41</v>
      </c>
    </row>
    <row r="103" spans="1:20" s="468" customFormat="1" ht="28.5">
      <c r="A103" s="562">
        <v>2</v>
      </c>
      <c r="B103" s="625" t="s">
        <v>604</v>
      </c>
      <c r="C103" s="653" t="s">
        <v>242</v>
      </c>
      <c r="D103" s="459">
        <v>3386</v>
      </c>
      <c r="E103" s="459">
        <v>4737</v>
      </c>
      <c r="F103" s="459">
        <v>4737</v>
      </c>
      <c r="G103" s="459">
        <v>4734</v>
      </c>
      <c r="H103" s="640">
        <v>4159</v>
      </c>
      <c r="I103" s="626">
        <v>4737</v>
      </c>
      <c r="J103" s="626">
        <f t="shared" si="6"/>
        <v>100.06337135614703</v>
      </c>
      <c r="K103" s="641">
        <f>F103/H103*100</f>
        <v>113.89757153161817</v>
      </c>
      <c r="L103" s="641">
        <f t="shared" si="7"/>
        <v>100</v>
      </c>
      <c r="M103" s="626"/>
      <c r="N103" s="642"/>
      <c r="O103" s="459"/>
      <c r="P103" s="626">
        <v>4737</v>
      </c>
      <c r="Q103" s="662"/>
      <c r="R103" s="643">
        <v>4734</v>
      </c>
      <c r="S103" s="606"/>
      <c r="T103" s="606"/>
    </row>
    <row r="104" spans="1:18" ht="15.75">
      <c r="A104" s="19"/>
      <c r="B104" s="14" t="s">
        <v>346</v>
      </c>
      <c r="C104" s="225" t="s">
        <v>242</v>
      </c>
      <c r="D104" s="7">
        <v>3331</v>
      </c>
      <c r="E104" s="7">
        <f>E103*96%</f>
        <v>4547.5199999999995</v>
      </c>
      <c r="F104" s="7">
        <v>4550</v>
      </c>
      <c r="G104" s="7">
        <v>4215</v>
      </c>
      <c r="H104" s="220">
        <v>3951</v>
      </c>
      <c r="I104" s="85">
        <f>I103*96%</f>
        <v>4547.5199999999995</v>
      </c>
      <c r="J104" s="624">
        <f t="shared" si="6"/>
        <v>107.94780545670226</v>
      </c>
      <c r="K104" s="649">
        <f>F104/H104*100</f>
        <v>115.16071880536573</v>
      </c>
      <c r="L104" s="649">
        <f t="shared" si="7"/>
        <v>100.05453521919641</v>
      </c>
      <c r="M104" s="85"/>
      <c r="N104" s="236"/>
      <c r="O104" s="7"/>
      <c r="P104" s="85">
        <f>P103*96%</f>
        <v>4547.5199999999995</v>
      </c>
      <c r="Q104" s="300"/>
      <c r="R104" s="287">
        <v>4532</v>
      </c>
    </row>
    <row r="105" spans="1:17" ht="15.75">
      <c r="A105" s="19"/>
      <c r="B105" s="14" t="s">
        <v>347</v>
      </c>
      <c r="C105" s="225" t="s">
        <v>23</v>
      </c>
      <c r="D105" s="7">
        <f>D104/D103*100</f>
        <v>98.375664500886</v>
      </c>
      <c r="E105" s="7">
        <v>96</v>
      </c>
      <c r="F105" s="241">
        <f>F104/F103*100</f>
        <v>96.05235381042854</v>
      </c>
      <c r="G105" s="7">
        <f>G104/G103*100</f>
        <v>89.03675538656528</v>
      </c>
      <c r="H105" s="240">
        <v>7.34</v>
      </c>
      <c r="I105" s="239">
        <v>96</v>
      </c>
      <c r="J105" s="624">
        <f t="shared" si="6"/>
        <v>107.87944079206851</v>
      </c>
      <c r="K105" s="649">
        <f>F105/H105*100</f>
        <v>1308.6151745289992</v>
      </c>
      <c r="L105" s="649">
        <f t="shared" si="7"/>
        <v>100.05453521919641</v>
      </c>
      <c r="M105" s="239"/>
      <c r="N105" s="236"/>
      <c r="O105" s="7"/>
      <c r="P105" s="239">
        <v>96</v>
      </c>
      <c r="Q105" s="300"/>
    </row>
    <row r="106" spans="1:18" ht="31.5">
      <c r="A106" s="19"/>
      <c r="B106" s="281" t="s">
        <v>584</v>
      </c>
      <c r="C106" s="225"/>
      <c r="D106" s="7"/>
      <c r="E106" s="7"/>
      <c r="F106" s="7"/>
      <c r="G106" s="7"/>
      <c r="H106" s="240"/>
      <c r="I106" s="282"/>
      <c r="J106" s="624"/>
      <c r="K106" s="649"/>
      <c r="L106" s="649"/>
      <c r="M106" s="282"/>
      <c r="N106" s="236"/>
      <c r="O106" s="7"/>
      <c r="P106" s="282"/>
      <c r="Q106" s="300"/>
      <c r="R106" s="294">
        <v>9.06</v>
      </c>
    </row>
    <row r="107" spans="1:20" s="468" customFormat="1" ht="18.75" customHeight="1">
      <c r="A107" s="562">
        <v>3</v>
      </c>
      <c r="B107" s="625" t="s">
        <v>348</v>
      </c>
      <c r="C107" s="653" t="s">
        <v>242</v>
      </c>
      <c r="D107" s="459">
        <v>43167</v>
      </c>
      <c r="E107" s="459">
        <v>59334</v>
      </c>
      <c r="F107" s="459">
        <v>46070</v>
      </c>
      <c r="G107" s="459">
        <v>59229</v>
      </c>
      <c r="H107" s="640">
        <v>46070</v>
      </c>
      <c r="I107" s="459">
        <v>46070</v>
      </c>
      <c r="J107" s="626">
        <f t="shared" si="6"/>
        <v>77.7828428641375</v>
      </c>
      <c r="K107" s="641">
        <f>F107/H107*100</f>
        <v>100</v>
      </c>
      <c r="L107" s="641">
        <f t="shared" si="7"/>
        <v>100</v>
      </c>
      <c r="M107" s="459"/>
      <c r="N107" s="642"/>
      <c r="O107" s="459"/>
      <c r="P107" s="459">
        <v>46070</v>
      </c>
      <c r="Q107" s="862"/>
      <c r="R107" s="643">
        <v>59229</v>
      </c>
      <c r="S107" s="606"/>
      <c r="T107" s="606"/>
    </row>
    <row r="108" spans="1:18" ht="15.75">
      <c r="A108" s="19"/>
      <c r="B108" s="14" t="s">
        <v>349</v>
      </c>
      <c r="C108" s="225" t="s">
        <v>242</v>
      </c>
      <c r="D108" s="7">
        <v>4168</v>
      </c>
      <c r="E108" s="7">
        <v>3808</v>
      </c>
      <c r="F108" s="7">
        <v>6823</v>
      </c>
      <c r="G108" s="7">
        <v>3726</v>
      </c>
      <c r="H108" s="220">
        <v>6831</v>
      </c>
      <c r="I108" s="7">
        <v>6831</v>
      </c>
      <c r="J108" s="624">
        <f t="shared" si="6"/>
        <v>183.11862587224905</v>
      </c>
      <c r="K108" s="649">
        <f>F108/H108*100</f>
        <v>99.88288683940858</v>
      </c>
      <c r="L108" s="649">
        <f t="shared" si="7"/>
        <v>99.88288683940858</v>
      </c>
      <c r="M108" s="7"/>
      <c r="N108" s="236"/>
      <c r="O108" s="7"/>
      <c r="P108" s="7">
        <v>6831</v>
      </c>
      <c r="Q108" s="862"/>
      <c r="R108" s="287">
        <v>3785</v>
      </c>
    </row>
    <row r="109" spans="1:18" ht="31.5">
      <c r="A109" s="19"/>
      <c r="B109" s="285" t="s">
        <v>585</v>
      </c>
      <c r="C109" s="225"/>
      <c r="D109" s="7"/>
      <c r="E109" s="7"/>
      <c r="F109" s="7"/>
      <c r="G109" s="7"/>
      <c r="H109" s="220"/>
      <c r="I109" s="7"/>
      <c r="J109" s="624"/>
      <c r="K109" s="649"/>
      <c r="L109" s="649"/>
      <c r="M109" s="7"/>
      <c r="N109" s="236"/>
      <c r="O109" s="7"/>
      <c r="P109" s="7"/>
      <c r="Q109" s="862"/>
      <c r="R109" s="294"/>
    </row>
    <row r="110" spans="1:18" ht="24.75" customHeight="1">
      <c r="A110" s="19"/>
      <c r="B110" s="14" t="s">
        <v>350</v>
      </c>
      <c r="C110" s="225" t="s">
        <v>23</v>
      </c>
      <c r="D110" s="241">
        <f>D108/D107*100</f>
        <v>9.655523895568374</v>
      </c>
      <c r="E110" s="241">
        <f>E108/E107*100</f>
        <v>6.41790541679307</v>
      </c>
      <c r="F110" s="241">
        <f>F108/F107*100</f>
        <v>14.810071630128066</v>
      </c>
      <c r="G110" s="241">
        <f>G108/G107*100</f>
        <v>6.2908372587752615</v>
      </c>
      <c r="H110" s="240">
        <v>13.31</v>
      </c>
      <c r="I110" s="241">
        <f>I108/I107*100</f>
        <v>14.827436509659215</v>
      </c>
      <c r="J110" s="624">
        <f t="shared" si="6"/>
        <v>235.42290192722902</v>
      </c>
      <c r="K110" s="649">
        <f>F110/H110*100</f>
        <v>111.27026018127772</v>
      </c>
      <c r="L110" s="649">
        <f t="shared" si="7"/>
        <v>99.88288683940857</v>
      </c>
      <c r="M110" s="241"/>
      <c r="N110" s="236"/>
      <c r="O110" s="7"/>
      <c r="P110" s="241">
        <f>P108/P107*100</f>
        <v>14.827436509659215</v>
      </c>
      <c r="Q110" s="312"/>
      <c r="R110" s="287">
        <v>7.25</v>
      </c>
    </row>
  </sheetData>
  <sheetProtection/>
  <mergeCells count="21">
    <mergeCell ref="Q107:Q109"/>
    <mergeCell ref="P5:P8"/>
    <mergeCell ref="H5:I6"/>
    <mergeCell ref="C5:C8"/>
    <mergeCell ref="D5:D8"/>
    <mergeCell ref="H7:H8"/>
    <mergeCell ref="I7:I8"/>
    <mergeCell ref="L1:M1"/>
    <mergeCell ref="E5:E8"/>
    <mergeCell ref="J5:L6"/>
    <mergeCell ref="L7:L8"/>
    <mergeCell ref="J7:J8"/>
    <mergeCell ref="K7:K8"/>
    <mergeCell ref="A2:P2"/>
    <mergeCell ref="G5:G8"/>
    <mergeCell ref="F5:F8"/>
    <mergeCell ref="A5:A8"/>
    <mergeCell ref="A3:P3"/>
    <mergeCell ref="M5:M8"/>
    <mergeCell ref="B5:B8"/>
    <mergeCell ref="N5:N8"/>
  </mergeCells>
  <printOptions horizontalCentered="1"/>
  <pageMargins left="0" right="0" top="0.28" bottom="0.42" header="0.46" footer="0.21"/>
  <pageSetup firstPageNumber="11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27"/>
  <sheetViews>
    <sheetView view="pageBreakPreview" zoomScale="75" zoomScaleSheetLayoutView="75" zoomScalePageLayoutView="0" workbookViewId="0" topLeftCell="A1">
      <selection activeCell="A4" sqref="A4"/>
    </sheetView>
  </sheetViews>
  <sheetFormatPr defaultColWidth="9.00390625" defaultRowHeight="15.75"/>
  <cols>
    <col min="1" max="1" width="5.75390625" style="283" customWidth="1"/>
    <col min="2" max="2" width="45.50390625" style="42" customWidth="1"/>
    <col min="3" max="3" width="9.00390625" style="283" customWidth="1"/>
    <col min="4" max="4" width="10.125" style="42" hidden="1" customWidth="1"/>
    <col min="5" max="7" width="10.125" style="42" customWidth="1"/>
    <col min="8" max="8" width="10.625" style="42" customWidth="1"/>
    <col min="9" max="9" width="10.25390625" style="42" customWidth="1"/>
    <col min="10" max="10" width="11.625" style="42" customWidth="1"/>
    <col min="11" max="11" width="13.375" style="42" customWidth="1"/>
    <col min="12" max="12" width="12.125" style="42" customWidth="1"/>
    <col min="13" max="13" width="1.00390625" style="42" hidden="1" customWidth="1"/>
    <col min="14" max="14" width="11.00390625" style="42" customWidth="1"/>
    <col min="15" max="15" width="0.12890625" style="410" customWidth="1"/>
    <col min="16" max="16" width="11.00390625" style="410" hidden="1" customWidth="1"/>
    <col min="17" max="17" width="11.25390625" style="410" customWidth="1"/>
    <col min="18" max="18" width="11.125" style="410" bestFit="1" customWidth="1"/>
    <col min="19" max="21" width="9.00390625" style="410" customWidth="1"/>
    <col min="22" max="23" width="9.00390625" style="119" customWidth="1"/>
    <col min="24" max="16384" width="9.00390625" style="42" customWidth="1"/>
  </cols>
  <sheetData>
    <row r="1" spans="1:14" ht="15.75">
      <c r="A1" s="96"/>
      <c r="B1" s="1"/>
      <c r="C1" s="96"/>
      <c r="D1" s="1"/>
      <c r="E1" s="1"/>
      <c r="F1" s="1"/>
      <c r="G1" s="1"/>
      <c r="H1" s="1"/>
      <c r="I1" s="1"/>
      <c r="J1" s="1"/>
      <c r="K1" s="1"/>
      <c r="L1" s="825" t="s">
        <v>351</v>
      </c>
      <c r="M1" s="825"/>
      <c r="N1" s="825"/>
    </row>
    <row r="2" spans="1:14" ht="15.75">
      <c r="A2" s="826" t="s">
        <v>697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</row>
    <row r="3" spans="1:14" ht="15.75">
      <c r="A3" s="855" t="str">
        <f>'BIỂU 01'!A3:N3</f>
        <v>(Kèm theo Báo cáo            /BC-UBND, ngày      /6/2024 của UBND huyện Điện Biên)</v>
      </c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</row>
    <row r="4" spans="1:14" ht="15.75">
      <c r="A4" s="96"/>
      <c r="B4" s="81"/>
      <c r="C4" s="82"/>
      <c r="D4" s="313"/>
      <c r="E4" s="313"/>
      <c r="F4" s="313"/>
      <c r="G4" s="313"/>
      <c r="H4" s="80"/>
      <c r="I4" s="80"/>
      <c r="J4" s="80"/>
      <c r="K4" s="80"/>
      <c r="L4" s="80"/>
      <c r="M4" s="80"/>
      <c r="N4" s="80"/>
    </row>
    <row r="5" spans="1:17" ht="12" customHeight="1">
      <c r="A5" s="856" t="s">
        <v>120</v>
      </c>
      <c r="B5" s="857" t="s">
        <v>2</v>
      </c>
      <c r="C5" s="843" t="s">
        <v>121</v>
      </c>
      <c r="D5" s="844" t="s">
        <v>670</v>
      </c>
      <c r="E5" s="740" t="s">
        <v>687</v>
      </c>
      <c r="F5" s="740" t="s">
        <v>689</v>
      </c>
      <c r="G5" s="840" t="s">
        <v>690</v>
      </c>
      <c r="H5" s="725" t="s">
        <v>672</v>
      </c>
      <c r="I5" s="829"/>
      <c r="J5" s="725" t="s">
        <v>4</v>
      </c>
      <c r="K5" s="838"/>
      <c r="L5" s="829"/>
      <c r="M5" s="834" t="s">
        <v>672</v>
      </c>
      <c r="N5" s="834" t="s">
        <v>691</v>
      </c>
      <c r="O5" s="46"/>
      <c r="P5" s="834" t="s">
        <v>691</v>
      </c>
      <c r="Q5" s="422"/>
    </row>
    <row r="6" spans="1:18" ht="12" customHeight="1">
      <c r="A6" s="863"/>
      <c r="B6" s="857"/>
      <c r="C6" s="843"/>
      <c r="D6" s="844"/>
      <c r="E6" s="741"/>
      <c r="F6" s="741"/>
      <c r="G6" s="841"/>
      <c r="H6" s="830"/>
      <c r="I6" s="831"/>
      <c r="J6" s="830"/>
      <c r="K6" s="839"/>
      <c r="L6" s="831"/>
      <c r="M6" s="834"/>
      <c r="N6" s="834"/>
      <c r="O6" s="46"/>
      <c r="P6" s="834"/>
      <c r="Q6" s="422"/>
      <c r="R6" s="413" t="s">
        <v>655</v>
      </c>
    </row>
    <row r="7" spans="1:17" ht="48.75" customHeight="1">
      <c r="A7" s="863"/>
      <c r="B7" s="857"/>
      <c r="C7" s="843"/>
      <c r="D7" s="844"/>
      <c r="E7" s="741"/>
      <c r="F7" s="741"/>
      <c r="G7" s="841"/>
      <c r="H7" s="832" t="s">
        <v>6</v>
      </c>
      <c r="I7" s="832" t="s">
        <v>7</v>
      </c>
      <c r="J7" s="832" t="s">
        <v>692</v>
      </c>
      <c r="K7" s="834" t="s">
        <v>704</v>
      </c>
      <c r="L7" s="834" t="s">
        <v>705</v>
      </c>
      <c r="M7" s="834"/>
      <c r="N7" s="834"/>
      <c r="O7" s="46"/>
      <c r="P7" s="834"/>
      <c r="Q7" s="422"/>
    </row>
    <row r="8" spans="1:17" ht="48.75" customHeight="1">
      <c r="A8" s="863"/>
      <c r="B8" s="857"/>
      <c r="C8" s="843"/>
      <c r="D8" s="844"/>
      <c r="E8" s="742"/>
      <c r="F8" s="742"/>
      <c r="G8" s="842"/>
      <c r="H8" s="833"/>
      <c r="I8" s="833"/>
      <c r="J8" s="833"/>
      <c r="K8" s="834"/>
      <c r="L8" s="834"/>
      <c r="M8" s="834"/>
      <c r="N8" s="834"/>
      <c r="O8" s="46"/>
      <c r="P8" s="834"/>
      <c r="Q8" s="422"/>
    </row>
    <row r="9" spans="1:16" ht="15.75">
      <c r="A9" s="396" t="s">
        <v>9</v>
      </c>
      <c r="B9" s="396" t="s">
        <v>10</v>
      </c>
      <c r="C9" s="20" t="s">
        <v>11</v>
      </c>
      <c r="D9" s="20">
        <v>1</v>
      </c>
      <c r="E9" s="20">
        <v>1</v>
      </c>
      <c r="F9" s="20">
        <v>2</v>
      </c>
      <c r="G9" s="20">
        <v>3</v>
      </c>
      <c r="H9" s="20">
        <v>4</v>
      </c>
      <c r="I9" s="20">
        <v>5</v>
      </c>
      <c r="J9" s="20" t="s">
        <v>695</v>
      </c>
      <c r="K9" s="8" t="s">
        <v>699</v>
      </c>
      <c r="L9" s="8" t="s">
        <v>700</v>
      </c>
      <c r="M9" s="20">
        <v>8</v>
      </c>
      <c r="N9" s="9">
        <v>9</v>
      </c>
      <c r="O9" s="46"/>
      <c r="P9" s="9">
        <v>9</v>
      </c>
    </row>
    <row r="10" spans="1:14" ht="15.75">
      <c r="A10" s="314" t="s">
        <v>14</v>
      </c>
      <c r="B10" s="84" t="s">
        <v>352</v>
      </c>
      <c r="C10" s="314"/>
      <c r="D10" s="315"/>
      <c r="E10" s="315"/>
      <c r="F10" s="315"/>
      <c r="G10" s="315"/>
      <c r="H10" s="315"/>
      <c r="I10" s="316"/>
      <c r="J10" s="316"/>
      <c r="K10" s="316"/>
      <c r="L10" s="316"/>
      <c r="M10" s="316"/>
      <c r="N10" s="316"/>
    </row>
    <row r="11" spans="1:23" s="50" customFormat="1" ht="15.75">
      <c r="A11" s="317">
        <v>1</v>
      </c>
      <c r="B11" s="234" t="s">
        <v>353</v>
      </c>
      <c r="C11" s="317" t="s">
        <v>23</v>
      </c>
      <c r="D11" s="316">
        <v>96.5</v>
      </c>
      <c r="E11" s="316">
        <v>90</v>
      </c>
      <c r="F11" s="671" t="s">
        <v>701</v>
      </c>
      <c r="G11" s="316">
        <v>53.7</v>
      </c>
      <c r="H11" s="116">
        <v>96.5</v>
      </c>
      <c r="I11" s="316" t="s">
        <v>674</v>
      </c>
      <c r="J11" s="316">
        <f>F11/G11*100</f>
        <v>98.69646182495345</v>
      </c>
      <c r="K11" s="316">
        <f>F11/H11*100</f>
        <v>54.92227979274611</v>
      </c>
      <c r="L11" s="316">
        <f>F11/I11*100</f>
        <v>54.92227979274611</v>
      </c>
      <c r="M11" s="316"/>
      <c r="N11" s="316" t="s">
        <v>674</v>
      </c>
      <c r="O11" s="410"/>
      <c r="P11" s="410"/>
      <c r="Q11" s="410"/>
      <c r="R11" s="410">
        <v>96.5</v>
      </c>
      <c r="S11" s="410"/>
      <c r="T11" s="410"/>
      <c r="U11" s="410"/>
      <c r="V11" s="119"/>
      <c r="W11" s="119"/>
    </row>
    <row r="12" spans="1:23" s="50" customFormat="1" ht="30">
      <c r="A12" s="317">
        <v>2</v>
      </c>
      <c r="B12" s="234" t="s">
        <v>610</v>
      </c>
      <c r="C12" s="317" t="s">
        <v>23</v>
      </c>
      <c r="D12" s="316">
        <v>62.4</v>
      </c>
      <c r="E12" s="316">
        <v>68.2</v>
      </c>
      <c r="F12" s="671">
        <v>73.4</v>
      </c>
      <c r="G12" s="316">
        <v>68.2</v>
      </c>
      <c r="H12" s="316">
        <v>67</v>
      </c>
      <c r="I12" s="316">
        <v>68.5</v>
      </c>
      <c r="J12" s="316">
        <f aca="true" t="shared" si="0" ref="J12:J75">F12/G12*100</f>
        <v>107.62463343108504</v>
      </c>
      <c r="K12" s="316">
        <f aca="true" t="shared" si="1" ref="K12:K74">F12/H12*100</f>
        <v>109.55223880597016</v>
      </c>
      <c r="L12" s="316">
        <f aca="true" t="shared" si="2" ref="L12:L75">F12/I12*100</f>
        <v>107.15328467153284</v>
      </c>
      <c r="M12" s="316"/>
      <c r="N12" s="316">
        <v>68.5</v>
      </c>
      <c r="O12" s="410">
        <v>46.3</v>
      </c>
      <c r="P12" s="410"/>
      <c r="Q12" s="410"/>
      <c r="R12" s="410">
        <v>66</v>
      </c>
      <c r="S12" s="410"/>
      <c r="T12" s="410"/>
      <c r="U12" s="410"/>
      <c r="V12" s="119"/>
      <c r="W12" s="119"/>
    </row>
    <row r="13" spans="1:23" s="50" customFormat="1" ht="30">
      <c r="A13" s="317"/>
      <c r="B13" s="234" t="s">
        <v>605</v>
      </c>
      <c r="C13" s="317" t="s">
        <v>23</v>
      </c>
      <c r="D13" s="316">
        <v>54</v>
      </c>
      <c r="E13" s="316">
        <v>73</v>
      </c>
      <c r="F13" s="671">
        <v>77</v>
      </c>
      <c r="G13" s="316">
        <v>73</v>
      </c>
      <c r="H13" s="14">
        <v>68.8</v>
      </c>
      <c r="I13" s="316">
        <v>73</v>
      </c>
      <c r="J13" s="316">
        <f t="shared" si="0"/>
        <v>105.47945205479452</v>
      </c>
      <c r="K13" s="316">
        <f t="shared" si="1"/>
        <v>111.9186046511628</v>
      </c>
      <c r="L13" s="316">
        <f t="shared" si="2"/>
        <v>105.47945205479452</v>
      </c>
      <c r="M13" s="316"/>
      <c r="N13" s="316">
        <v>73</v>
      </c>
      <c r="O13" s="410">
        <v>95.7</v>
      </c>
      <c r="P13" s="410"/>
      <c r="Q13" s="410"/>
      <c r="R13" s="410">
        <v>65</v>
      </c>
      <c r="S13" s="410"/>
      <c r="T13" s="410"/>
      <c r="U13" s="410"/>
      <c r="V13" s="119"/>
      <c r="W13" s="119"/>
    </row>
    <row r="14" spans="1:23" s="50" customFormat="1" ht="15.75">
      <c r="A14" s="317">
        <v>3</v>
      </c>
      <c r="B14" s="234" t="s">
        <v>354</v>
      </c>
      <c r="C14" s="317" t="s">
        <v>23</v>
      </c>
      <c r="D14" s="316">
        <v>95.7</v>
      </c>
      <c r="E14" s="316">
        <v>96</v>
      </c>
      <c r="F14" s="671" t="s">
        <v>702</v>
      </c>
      <c r="G14" s="316">
        <v>28.3</v>
      </c>
      <c r="H14" s="116">
        <v>95.5</v>
      </c>
      <c r="I14" s="316">
        <v>96</v>
      </c>
      <c r="J14" s="316">
        <f t="shared" si="0"/>
        <v>185.1590106007067</v>
      </c>
      <c r="K14" s="316">
        <f t="shared" si="1"/>
        <v>54.86910994764398</v>
      </c>
      <c r="L14" s="316">
        <f t="shared" si="2"/>
        <v>54.58333333333333</v>
      </c>
      <c r="M14" s="316"/>
      <c r="N14" s="316">
        <v>96</v>
      </c>
      <c r="O14" s="410"/>
      <c r="P14" s="410"/>
      <c r="Q14" s="410"/>
      <c r="R14" s="410">
        <v>96</v>
      </c>
      <c r="S14" s="410"/>
      <c r="T14" s="410"/>
      <c r="U14" s="410"/>
      <c r="V14" s="119"/>
      <c r="W14" s="119"/>
    </row>
    <row r="15" spans="1:23" s="50" customFormat="1" ht="15.75">
      <c r="A15" s="317">
        <v>4</v>
      </c>
      <c r="B15" s="234" t="s">
        <v>355</v>
      </c>
      <c r="C15" s="317" t="s">
        <v>23</v>
      </c>
      <c r="D15" s="316">
        <v>99</v>
      </c>
      <c r="E15" s="316">
        <v>99.2</v>
      </c>
      <c r="F15" s="671">
        <v>95</v>
      </c>
      <c r="G15" s="316">
        <v>85</v>
      </c>
      <c r="H15" s="116"/>
      <c r="I15" s="316">
        <v>99.3</v>
      </c>
      <c r="J15" s="316">
        <f t="shared" si="0"/>
        <v>111.76470588235294</v>
      </c>
      <c r="K15" s="316"/>
      <c r="L15" s="316">
        <f t="shared" si="2"/>
        <v>95.66968781470293</v>
      </c>
      <c r="M15" s="316"/>
      <c r="N15" s="316">
        <v>99.3</v>
      </c>
      <c r="O15" s="410"/>
      <c r="P15" s="410"/>
      <c r="Q15" s="410"/>
      <c r="R15" s="410"/>
      <c r="S15" s="410"/>
      <c r="T15" s="410"/>
      <c r="U15" s="410"/>
      <c r="V15" s="119"/>
      <c r="W15" s="119"/>
    </row>
    <row r="16" spans="1:23" s="50" customFormat="1" ht="30">
      <c r="A16" s="317">
        <v>5</v>
      </c>
      <c r="B16" s="234" t="s">
        <v>356</v>
      </c>
      <c r="C16" s="317" t="s">
        <v>23</v>
      </c>
      <c r="D16" s="318">
        <v>100</v>
      </c>
      <c r="E16" s="318">
        <v>100</v>
      </c>
      <c r="F16" s="672">
        <v>100</v>
      </c>
      <c r="G16" s="318">
        <v>100</v>
      </c>
      <c r="H16" s="116"/>
      <c r="I16" s="318">
        <v>100</v>
      </c>
      <c r="J16" s="316">
        <f t="shared" si="0"/>
        <v>100</v>
      </c>
      <c r="K16" s="316"/>
      <c r="L16" s="316">
        <f t="shared" si="2"/>
        <v>100</v>
      </c>
      <c r="M16" s="318"/>
      <c r="N16" s="318">
        <v>100</v>
      </c>
      <c r="O16" s="410">
        <v>13.9</v>
      </c>
      <c r="P16" s="410"/>
      <c r="Q16" s="410"/>
      <c r="R16" s="410"/>
      <c r="S16" s="410"/>
      <c r="T16" s="410"/>
      <c r="U16" s="410"/>
      <c r="V16" s="119"/>
      <c r="W16" s="119"/>
    </row>
    <row r="17" spans="1:23" s="57" customFormat="1" ht="15.75">
      <c r="A17" s="317">
        <v>6</v>
      </c>
      <c r="B17" s="234" t="s">
        <v>357</v>
      </c>
      <c r="C17" s="317" t="s">
        <v>358</v>
      </c>
      <c r="D17" s="316">
        <v>13</v>
      </c>
      <c r="E17" s="316">
        <v>11.4</v>
      </c>
      <c r="F17" s="671">
        <v>8.2</v>
      </c>
      <c r="G17" s="316">
        <v>10.9</v>
      </c>
      <c r="H17" s="116">
        <v>12.3</v>
      </c>
      <c r="I17" s="316">
        <v>11.2</v>
      </c>
      <c r="J17" s="316">
        <f t="shared" si="0"/>
        <v>75.22935779816513</v>
      </c>
      <c r="K17" s="316">
        <f t="shared" si="1"/>
        <v>66.66666666666666</v>
      </c>
      <c r="L17" s="316">
        <f t="shared" si="2"/>
        <v>73.21428571428571</v>
      </c>
      <c r="M17" s="316"/>
      <c r="N17" s="316">
        <v>11.2</v>
      </c>
      <c r="O17" s="415">
        <v>16.6</v>
      </c>
      <c r="P17" s="415" t="s">
        <v>579</v>
      </c>
      <c r="Q17" s="415"/>
      <c r="R17" s="415">
        <v>13.4</v>
      </c>
      <c r="S17" s="415"/>
      <c r="T17" s="415"/>
      <c r="U17" s="415"/>
      <c r="V17" s="319"/>
      <c r="W17" s="319"/>
    </row>
    <row r="18" spans="1:23" s="50" customFormat="1" ht="30">
      <c r="A18" s="317"/>
      <c r="B18" s="320" t="s">
        <v>580</v>
      </c>
      <c r="C18" s="317" t="s">
        <v>358</v>
      </c>
      <c r="D18" s="316">
        <v>15.4</v>
      </c>
      <c r="E18" s="316">
        <v>13.5</v>
      </c>
      <c r="F18" s="671">
        <v>9.6</v>
      </c>
      <c r="G18" s="316">
        <v>13.2</v>
      </c>
      <c r="H18" s="14">
        <v>15</v>
      </c>
      <c r="I18" s="316">
        <v>15</v>
      </c>
      <c r="J18" s="316">
        <f t="shared" si="0"/>
        <v>72.72727272727273</v>
      </c>
      <c r="K18" s="316">
        <f t="shared" si="1"/>
        <v>64</v>
      </c>
      <c r="L18" s="316">
        <f t="shared" si="2"/>
        <v>64</v>
      </c>
      <c r="M18" s="316"/>
      <c r="N18" s="316">
        <v>15</v>
      </c>
      <c r="O18" s="410">
        <v>18.1</v>
      </c>
      <c r="P18" s="410"/>
      <c r="Q18" s="410"/>
      <c r="R18" s="410">
        <v>15.6</v>
      </c>
      <c r="S18" s="410"/>
      <c r="T18" s="410"/>
      <c r="U18" s="410"/>
      <c r="V18" s="119"/>
      <c r="W18" s="119"/>
    </row>
    <row r="19" spans="1:23" s="57" customFormat="1" ht="15.75">
      <c r="A19" s="317">
        <v>7</v>
      </c>
      <c r="B19" s="234" t="s">
        <v>359</v>
      </c>
      <c r="C19" s="317" t="s">
        <v>358</v>
      </c>
      <c r="D19" s="316">
        <v>17.6</v>
      </c>
      <c r="E19" s="316">
        <v>18</v>
      </c>
      <c r="F19" s="671">
        <v>9.9</v>
      </c>
      <c r="G19" s="316">
        <v>17.1</v>
      </c>
      <c r="H19" s="116">
        <v>18.6</v>
      </c>
      <c r="I19" s="316">
        <v>18.6</v>
      </c>
      <c r="J19" s="316">
        <f t="shared" si="0"/>
        <v>57.89473684210527</v>
      </c>
      <c r="K19" s="316">
        <f t="shared" si="1"/>
        <v>53.2258064516129</v>
      </c>
      <c r="L19" s="316">
        <f t="shared" si="2"/>
        <v>53.2258064516129</v>
      </c>
      <c r="M19" s="316"/>
      <c r="N19" s="316">
        <v>18.6</v>
      </c>
      <c r="O19" s="415">
        <v>22.8</v>
      </c>
      <c r="P19" s="415" t="s">
        <v>579</v>
      </c>
      <c r="Q19" s="415"/>
      <c r="R19" s="415">
        <v>17.5</v>
      </c>
      <c r="S19" s="415"/>
      <c r="T19" s="415"/>
      <c r="U19" s="415"/>
      <c r="V19" s="319"/>
      <c r="W19" s="319"/>
    </row>
    <row r="20" spans="1:23" s="50" customFormat="1" ht="30">
      <c r="A20" s="317"/>
      <c r="B20" s="320" t="s">
        <v>578</v>
      </c>
      <c r="C20" s="317" t="s">
        <v>358</v>
      </c>
      <c r="D20" s="316">
        <v>21.1</v>
      </c>
      <c r="E20" s="316">
        <v>22</v>
      </c>
      <c r="F20" s="671">
        <v>9.6</v>
      </c>
      <c r="G20" s="316">
        <v>18.9</v>
      </c>
      <c r="H20" s="14">
        <v>20.6</v>
      </c>
      <c r="I20" s="316">
        <v>20.6</v>
      </c>
      <c r="J20" s="316">
        <f t="shared" si="0"/>
        <v>50.79365079365079</v>
      </c>
      <c r="K20" s="316">
        <f t="shared" si="1"/>
        <v>46.60194174757281</v>
      </c>
      <c r="L20" s="316">
        <f t="shared" si="2"/>
        <v>46.60194174757281</v>
      </c>
      <c r="M20" s="316"/>
      <c r="N20" s="316">
        <v>20.6</v>
      </c>
      <c r="O20" s="410">
        <v>3.5</v>
      </c>
      <c r="P20" s="410"/>
      <c r="Q20" s="410"/>
      <c r="R20" s="410">
        <v>20.2</v>
      </c>
      <c r="S20" s="410"/>
      <c r="T20" s="410"/>
      <c r="U20" s="410"/>
      <c r="V20" s="119"/>
      <c r="W20" s="119"/>
    </row>
    <row r="21" spans="1:23" s="50" customFormat="1" ht="15.75">
      <c r="A21" s="317">
        <v>8</v>
      </c>
      <c r="B21" s="234" t="s">
        <v>360</v>
      </c>
      <c r="C21" s="317" t="s">
        <v>23</v>
      </c>
      <c r="D21" s="316">
        <v>2</v>
      </c>
      <c r="E21" s="316">
        <v>2</v>
      </c>
      <c r="F21" s="671">
        <v>1.6</v>
      </c>
      <c r="G21" s="316">
        <v>1.9</v>
      </c>
      <c r="H21" s="389">
        <v>3</v>
      </c>
      <c r="I21" s="316">
        <v>2</v>
      </c>
      <c r="J21" s="316">
        <f t="shared" si="0"/>
        <v>84.21052631578948</v>
      </c>
      <c r="K21" s="316">
        <f t="shared" si="1"/>
        <v>53.333333333333336</v>
      </c>
      <c r="L21" s="316">
        <f t="shared" si="2"/>
        <v>80</v>
      </c>
      <c r="M21" s="316"/>
      <c r="N21" s="316">
        <v>2</v>
      </c>
      <c r="O21" s="410">
        <v>44.8</v>
      </c>
      <c r="P21" s="410"/>
      <c r="Q21" s="410"/>
      <c r="R21" s="410">
        <v>3</v>
      </c>
      <c r="S21" s="410"/>
      <c r="T21" s="410"/>
      <c r="U21" s="410"/>
      <c r="V21" s="119"/>
      <c r="W21" s="119"/>
    </row>
    <row r="22" spans="1:23" s="50" customFormat="1" ht="15.75">
      <c r="A22" s="317">
        <v>9</v>
      </c>
      <c r="B22" s="234" t="s">
        <v>361</v>
      </c>
      <c r="C22" s="317" t="s">
        <v>23</v>
      </c>
      <c r="D22" s="316">
        <v>40.7</v>
      </c>
      <c r="E22" s="316">
        <v>40.9</v>
      </c>
      <c r="F22" s="671">
        <v>41.5</v>
      </c>
      <c r="G22" s="316">
        <v>33.5</v>
      </c>
      <c r="H22" s="116">
        <v>41.5</v>
      </c>
      <c r="I22" s="316">
        <v>41.9</v>
      </c>
      <c r="J22" s="316">
        <f t="shared" si="0"/>
        <v>123.88059701492537</v>
      </c>
      <c r="K22" s="316">
        <f t="shared" si="1"/>
        <v>100</v>
      </c>
      <c r="L22" s="316">
        <f t="shared" si="2"/>
        <v>99.0453460620525</v>
      </c>
      <c r="M22" s="316"/>
      <c r="N22" s="316">
        <v>41.9</v>
      </c>
      <c r="O22" s="410"/>
      <c r="P22" s="410"/>
      <c r="Q22" s="410"/>
      <c r="R22" s="410">
        <v>40.7</v>
      </c>
      <c r="S22" s="410"/>
      <c r="T22" s="410"/>
      <c r="U22" s="410"/>
      <c r="V22" s="119"/>
      <c r="W22" s="119"/>
    </row>
    <row r="23" spans="1:23" s="50" customFormat="1" ht="15.75">
      <c r="A23" s="317">
        <v>10</v>
      </c>
      <c r="B23" s="234" t="s">
        <v>362</v>
      </c>
      <c r="C23" s="19"/>
      <c r="D23" s="316"/>
      <c r="E23" s="316"/>
      <c r="F23" s="671"/>
      <c r="G23" s="316"/>
      <c r="H23" s="116"/>
      <c r="I23" s="316"/>
      <c r="J23" s="316"/>
      <c r="K23" s="316"/>
      <c r="L23" s="316"/>
      <c r="M23" s="316"/>
      <c r="N23" s="316"/>
      <c r="O23" s="410">
        <v>11.6</v>
      </c>
      <c r="P23" s="410"/>
      <c r="Q23" s="410"/>
      <c r="R23" s="410"/>
      <c r="S23" s="410"/>
      <c r="T23" s="410"/>
      <c r="U23" s="410"/>
      <c r="V23" s="119"/>
      <c r="W23" s="119"/>
    </row>
    <row r="24" spans="1:23" s="57" customFormat="1" ht="15.75">
      <c r="A24" s="317"/>
      <c r="B24" s="234" t="s">
        <v>363</v>
      </c>
      <c r="C24" s="317" t="s">
        <v>23</v>
      </c>
      <c r="D24" s="316">
        <v>11.5</v>
      </c>
      <c r="E24" s="316">
        <v>11.3</v>
      </c>
      <c r="F24" s="671">
        <v>11.3</v>
      </c>
      <c r="G24" s="316">
        <v>11.4</v>
      </c>
      <c r="H24" s="116">
        <v>11.3</v>
      </c>
      <c r="I24" s="316">
        <v>11.3</v>
      </c>
      <c r="J24" s="316">
        <f t="shared" si="0"/>
        <v>99.12280701754386</v>
      </c>
      <c r="K24" s="316">
        <f t="shared" si="1"/>
        <v>100</v>
      </c>
      <c r="L24" s="316">
        <f t="shared" si="2"/>
        <v>100</v>
      </c>
      <c r="M24" s="316"/>
      <c r="N24" s="316">
        <v>11.3</v>
      </c>
      <c r="O24" s="415">
        <v>13.1</v>
      </c>
      <c r="P24" s="415" t="s">
        <v>579</v>
      </c>
      <c r="Q24" s="415"/>
      <c r="R24" s="415">
        <v>11.4</v>
      </c>
      <c r="S24" s="415"/>
      <c r="T24" s="415"/>
      <c r="U24" s="415"/>
      <c r="V24" s="319"/>
      <c r="W24" s="319"/>
    </row>
    <row r="25" spans="1:23" s="50" customFormat="1" ht="30">
      <c r="A25" s="317"/>
      <c r="B25" s="320" t="s">
        <v>581</v>
      </c>
      <c r="C25" s="317" t="s">
        <v>23</v>
      </c>
      <c r="D25" s="316">
        <v>12.9</v>
      </c>
      <c r="E25" s="316">
        <v>12.5</v>
      </c>
      <c r="F25" s="671">
        <v>12.5</v>
      </c>
      <c r="G25" s="316">
        <v>12.7</v>
      </c>
      <c r="H25" s="14">
        <v>12.5</v>
      </c>
      <c r="I25" s="316">
        <v>12.5</v>
      </c>
      <c r="J25" s="316">
        <f t="shared" si="0"/>
        <v>98.4251968503937</v>
      </c>
      <c r="K25" s="316">
        <f t="shared" si="1"/>
        <v>100</v>
      </c>
      <c r="L25" s="316">
        <f t="shared" si="2"/>
        <v>100</v>
      </c>
      <c r="M25" s="316"/>
      <c r="N25" s="316">
        <v>12.5</v>
      </c>
      <c r="O25" s="410"/>
      <c r="P25" s="410"/>
      <c r="Q25" s="410"/>
      <c r="R25" s="410">
        <v>13.1</v>
      </c>
      <c r="S25" s="410"/>
      <c r="T25" s="410"/>
      <c r="U25" s="410"/>
      <c r="V25" s="119"/>
      <c r="W25" s="119"/>
    </row>
    <row r="26" spans="1:23" s="50" customFormat="1" ht="15.75">
      <c r="A26" s="317"/>
      <c r="B26" s="234" t="s">
        <v>364</v>
      </c>
      <c r="C26" s="317" t="s">
        <v>23</v>
      </c>
      <c r="D26" s="316">
        <v>17.4</v>
      </c>
      <c r="E26" s="316">
        <v>17.1</v>
      </c>
      <c r="F26" s="671">
        <v>17</v>
      </c>
      <c r="G26" s="316">
        <v>17</v>
      </c>
      <c r="H26" s="116">
        <v>17</v>
      </c>
      <c r="I26" s="316">
        <v>17</v>
      </c>
      <c r="J26" s="316">
        <f t="shared" si="0"/>
        <v>100</v>
      </c>
      <c r="K26" s="316">
        <f t="shared" si="1"/>
        <v>100</v>
      </c>
      <c r="L26" s="316">
        <f t="shared" si="2"/>
        <v>100</v>
      </c>
      <c r="M26" s="316"/>
      <c r="N26" s="316">
        <v>17</v>
      </c>
      <c r="O26" s="410"/>
      <c r="P26" s="410"/>
      <c r="Q26" s="410"/>
      <c r="R26" s="410">
        <v>17.4</v>
      </c>
      <c r="S26" s="410"/>
      <c r="T26" s="410"/>
      <c r="U26" s="410"/>
      <c r="V26" s="119"/>
      <c r="W26" s="119"/>
    </row>
    <row r="27" spans="1:23" s="50" customFormat="1" ht="30">
      <c r="A27" s="317"/>
      <c r="B27" s="320" t="s">
        <v>656</v>
      </c>
      <c r="C27" s="317" t="s">
        <v>23</v>
      </c>
      <c r="D27" s="321">
        <v>20.03</v>
      </c>
      <c r="E27" s="321">
        <v>18.7</v>
      </c>
      <c r="F27" s="673">
        <v>18.7</v>
      </c>
      <c r="G27" s="321">
        <v>19</v>
      </c>
      <c r="H27" s="14">
        <v>18.7</v>
      </c>
      <c r="I27" s="316">
        <v>18.7</v>
      </c>
      <c r="J27" s="316">
        <f t="shared" si="0"/>
        <v>98.42105263157895</v>
      </c>
      <c r="K27" s="316">
        <f t="shared" si="1"/>
        <v>100</v>
      </c>
      <c r="L27" s="316">
        <f t="shared" si="2"/>
        <v>100</v>
      </c>
      <c r="M27" s="316"/>
      <c r="N27" s="316">
        <v>18.7</v>
      </c>
      <c r="O27" s="410"/>
      <c r="P27" s="410"/>
      <c r="Q27" s="410"/>
      <c r="R27" s="410">
        <v>19.8</v>
      </c>
      <c r="S27" s="410" t="s">
        <v>657</v>
      </c>
      <c r="T27" s="410"/>
      <c r="U27" s="410"/>
      <c r="V27" s="119"/>
      <c r="W27" s="119"/>
    </row>
    <row r="28" spans="1:23" s="50" customFormat="1" ht="30">
      <c r="A28" s="317">
        <v>11</v>
      </c>
      <c r="B28" s="234" t="s">
        <v>606</v>
      </c>
      <c r="C28" s="317"/>
      <c r="D28" s="316">
        <v>86</v>
      </c>
      <c r="E28" s="316">
        <v>88.5</v>
      </c>
      <c r="F28" s="671"/>
      <c r="G28" s="316">
        <v>89</v>
      </c>
      <c r="H28" s="14">
        <v>89</v>
      </c>
      <c r="I28" s="318">
        <v>89</v>
      </c>
      <c r="J28" s="316">
        <f t="shared" si="0"/>
        <v>0</v>
      </c>
      <c r="K28" s="316">
        <f t="shared" si="1"/>
        <v>0</v>
      </c>
      <c r="L28" s="316">
        <f t="shared" si="2"/>
        <v>0</v>
      </c>
      <c r="M28" s="318"/>
      <c r="N28" s="318">
        <v>89</v>
      </c>
      <c r="O28" s="410"/>
      <c r="P28" s="410"/>
      <c r="Q28" s="410"/>
      <c r="R28" s="410">
        <v>88.5</v>
      </c>
      <c r="S28" s="410"/>
      <c r="T28" s="410"/>
      <c r="U28" s="410"/>
      <c r="V28" s="119"/>
      <c r="W28" s="119"/>
    </row>
    <row r="29" spans="1:23" s="50" customFormat="1" ht="15.75">
      <c r="A29" s="317">
        <v>12</v>
      </c>
      <c r="B29" s="234" t="s">
        <v>365</v>
      </c>
      <c r="C29" s="317" t="s">
        <v>23</v>
      </c>
      <c r="D29" s="318">
        <v>100</v>
      </c>
      <c r="E29" s="318">
        <v>100</v>
      </c>
      <c r="F29" s="672">
        <v>0</v>
      </c>
      <c r="G29" s="318">
        <v>100</v>
      </c>
      <c r="H29" s="116"/>
      <c r="I29" s="318">
        <v>100</v>
      </c>
      <c r="J29" s="316"/>
      <c r="K29" s="316"/>
      <c r="L29" s="316"/>
      <c r="M29" s="318"/>
      <c r="N29" s="318">
        <v>100</v>
      </c>
      <c r="O29" s="410"/>
      <c r="P29" s="410"/>
      <c r="Q29" s="410"/>
      <c r="R29" s="410"/>
      <c r="S29" s="410"/>
      <c r="T29" s="410"/>
      <c r="U29" s="410"/>
      <c r="V29" s="119"/>
      <c r="W29" s="119"/>
    </row>
    <row r="30" spans="1:23" s="50" customFormat="1" ht="15.75">
      <c r="A30" s="317">
        <v>13</v>
      </c>
      <c r="B30" s="234" t="s">
        <v>366</v>
      </c>
      <c r="C30" s="317" t="s">
        <v>23</v>
      </c>
      <c r="D30" s="316"/>
      <c r="E30" s="316"/>
      <c r="F30" s="671"/>
      <c r="G30" s="316"/>
      <c r="H30" s="116"/>
      <c r="I30" s="318"/>
      <c r="J30" s="316"/>
      <c r="K30" s="316"/>
      <c r="L30" s="316"/>
      <c r="M30" s="318"/>
      <c r="N30" s="318"/>
      <c r="O30" s="410"/>
      <c r="P30" s="410"/>
      <c r="Q30" s="410"/>
      <c r="R30" s="410"/>
      <c r="S30" s="410"/>
      <c r="T30" s="410"/>
      <c r="U30" s="410"/>
      <c r="V30" s="119"/>
      <c r="W30" s="119"/>
    </row>
    <row r="31" spans="1:23" s="50" customFormat="1" ht="15.75">
      <c r="A31" s="317">
        <v>14</v>
      </c>
      <c r="B31" s="234" t="s">
        <v>367</v>
      </c>
      <c r="C31" s="317" t="s">
        <v>23</v>
      </c>
      <c r="D31" s="318"/>
      <c r="E31" s="316"/>
      <c r="F31" s="671"/>
      <c r="G31" s="318"/>
      <c r="H31" s="116"/>
      <c r="I31" s="316"/>
      <c r="J31" s="316"/>
      <c r="K31" s="316"/>
      <c r="L31" s="316"/>
      <c r="M31" s="316"/>
      <c r="N31" s="316"/>
      <c r="O31" s="410"/>
      <c r="P31" s="410"/>
      <c r="Q31" s="410"/>
      <c r="R31" s="410"/>
      <c r="S31" s="410"/>
      <c r="T31" s="410"/>
      <c r="U31" s="410"/>
      <c r="V31" s="119"/>
      <c r="W31" s="119"/>
    </row>
    <row r="32" spans="1:23" s="50" customFormat="1" ht="30">
      <c r="A32" s="317">
        <v>15</v>
      </c>
      <c r="B32" s="234" t="s">
        <v>368</v>
      </c>
      <c r="C32" s="317" t="s">
        <v>182</v>
      </c>
      <c r="D32" s="316">
        <v>92</v>
      </c>
      <c r="E32" s="316">
        <v>90</v>
      </c>
      <c r="F32" s="671">
        <v>0</v>
      </c>
      <c r="G32" s="316">
        <v>93</v>
      </c>
      <c r="H32" s="116"/>
      <c r="I32" s="318">
        <v>90</v>
      </c>
      <c r="J32" s="316"/>
      <c r="K32" s="316"/>
      <c r="L32" s="316"/>
      <c r="M32" s="318"/>
      <c r="N32" s="318">
        <v>90</v>
      </c>
      <c r="O32" s="410"/>
      <c r="P32" s="410"/>
      <c r="Q32" s="410"/>
      <c r="R32" s="410"/>
      <c r="S32" s="410"/>
      <c r="T32" s="410"/>
      <c r="U32" s="410"/>
      <c r="V32" s="119"/>
      <c r="W32" s="119"/>
    </row>
    <row r="33" spans="1:23" s="50" customFormat="1" ht="15.75">
      <c r="A33" s="317">
        <v>16</v>
      </c>
      <c r="B33" s="234" t="s">
        <v>369</v>
      </c>
      <c r="C33" s="317" t="s">
        <v>23</v>
      </c>
      <c r="D33" s="316">
        <v>79.6</v>
      </c>
      <c r="E33" s="316">
        <v>77.6</v>
      </c>
      <c r="F33" s="671">
        <v>80</v>
      </c>
      <c r="G33" s="316">
        <v>81.9</v>
      </c>
      <c r="H33" s="116"/>
      <c r="I33" s="316">
        <v>77.6</v>
      </c>
      <c r="J33" s="316">
        <f t="shared" si="0"/>
        <v>97.68009768009767</v>
      </c>
      <c r="K33" s="316"/>
      <c r="L33" s="316">
        <f t="shared" si="2"/>
        <v>103.09278350515466</v>
      </c>
      <c r="M33" s="316"/>
      <c r="N33" s="316">
        <v>77.6</v>
      </c>
      <c r="O33" s="410"/>
      <c r="P33" s="410"/>
      <c r="Q33" s="410"/>
      <c r="R33" s="410"/>
      <c r="S33" s="410"/>
      <c r="T33" s="410"/>
      <c r="U33" s="410"/>
      <c r="V33" s="119"/>
      <c r="W33" s="119"/>
    </row>
    <row r="34" spans="1:23" s="50" customFormat="1" ht="15.75">
      <c r="A34" s="317">
        <v>17</v>
      </c>
      <c r="B34" s="234" t="s">
        <v>370</v>
      </c>
      <c r="C34" s="317"/>
      <c r="D34" s="321"/>
      <c r="E34" s="321"/>
      <c r="F34" s="673"/>
      <c r="G34" s="321"/>
      <c r="H34" s="116"/>
      <c r="I34" s="321"/>
      <c r="J34" s="316"/>
      <c r="K34" s="316"/>
      <c r="L34" s="316"/>
      <c r="M34" s="321"/>
      <c r="N34" s="321"/>
      <c r="O34" s="410"/>
      <c r="P34" s="410"/>
      <c r="Q34" s="410"/>
      <c r="R34" s="410"/>
      <c r="S34" s="410"/>
      <c r="T34" s="410"/>
      <c r="U34" s="410"/>
      <c r="V34" s="119"/>
      <c r="W34" s="119"/>
    </row>
    <row r="35" spans="1:23" s="50" customFormat="1" ht="15.75">
      <c r="A35" s="317"/>
      <c r="B35" s="234" t="s">
        <v>371</v>
      </c>
      <c r="C35" s="317" t="s">
        <v>372</v>
      </c>
      <c r="D35" s="321"/>
      <c r="E35" s="321"/>
      <c r="F35" s="673">
        <v>0</v>
      </c>
      <c r="G35" s="321"/>
      <c r="H35" s="116"/>
      <c r="I35" s="321"/>
      <c r="J35" s="316"/>
      <c r="K35" s="316"/>
      <c r="L35" s="316"/>
      <c r="M35" s="321"/>
      <c r="N35" s="321"/>
      <c r="O35" s="410"/>
      <c r="P35" s="410"/>
      <c r="Q35" s="410"/>
      <c r="R35" s="410"/>
      <c r="S35" s="410"/>
      <c r="T35" s="410"/>
      <c r="U35" s="410"/>
      <c r="V35" s="119"/>
      <c r="W35" s="119"/>
    </row>
    <row r="36" spans="1:23" s="50" customFormat="1" ht="15.75">
      <c r="A36" s="317"/>
      <c r="B36" s="234" t="s">
        <v>373</v>
      </c>
      <c r="C36" s="317" t="s">
        <v>358</v>
      </c>
      <c r="D36" s="321"/>
      <c r="E36" s="321"/>
      <c r="F36" s="673">
        <v>0</v>
      </c>
      <c r="G36" s="321"/>
      <c r="H36" s="116"/>
      <c r="I36" s="321"/>
      <c r="J36" s="316"/>
      <c r="K36" s="316"/>
      <c r="L36" s="316"/>
      <c r="M36" s="321"/>
      <c r="N36" s="321"/>
      <c r="O36" s="410"/>
      <c r="P36" s="410"/>
      <c r="Q36" s="410"/>
      <c r="R36" s="410"/>
      <c r="S36" s="410"/>
      <c r="T36" s="410"/>
      <c r="U36" s="410"/>
      <c r="V36" s="119"/>
      <c r="W36" s="119"/>
    </row>
    <row r="37" spans="1:23" s="50" customFormat="1" ht="15.75">
      <c r="A37" s="317"/>
      <c r="B37" s="234" t="s">
        <v>374</v>
      </c>
      <c r="C37" s="317" t="s">
        <v>358</v>
      </c>
      <c r="D37" s="316">
        <v>29.2</v>
      </c>
      <c r="E37" s="321">
        <v>31</v>
      </c>
      <c r="F37" s="673" t="s">
        <v>703</v>
      </c>
      <c r="G37" s="316">
        <v>7.602033543973013</v>
      </c>
      <c r="H37" s="116"/>
      <c r="I37" s="316" t="s">
        <v>675</v>
      </c>
      <c r="J37" s="316">
        <f t="shared" si="0"/>
        <v>213.100875</v>
      </c>
      <c r="K37" s="316"/>
      <c r="L37" s="316">
        <f t="shared" si="2"/>
        <v>55.47945205479452</v>
      </c>
      <c r="M37" s="316"/>
      <c r="N37" s="316" t="s">
        <v>675</v>
      </c>
      <c r="O37" s="410"/>
      <c r="P37" s="410"/>
      <c r="Q37" s="410"/>
      <c r="R37" s="410"/>
      <c r="S37" s="410"/>
      <c r="T37" s="410"/>
      <c r="U37" s="410"/>
      <c r="V37" s="119"/>
      <c r="W37" s="119"/>
    </row>
    <row r="38" spans="1:23" s="50" customFormat="1" ht="15.75">
      <c r="A38" s="317"/>
      <c r="B38" s="234" t="s">
        <v>375</v>
      </c>
      <c r="C38" s="317" t="s">
        <v>23</v>
      </c>
      <c r="D38" s="321">
        <v>0.9</v>
      </c>
      <c r="E38" s="321">
        <v>0.89</v>
      </c>
      <c r="F38" s="673" t="s">
        <v>673</v>
      </c>
      <c r="G38" s="321">
        <v>0.9217465672067278</v>
      </c>
      <c r="H38" s="116"/>
      <c r="I38" s="316" t="s">
        <v>673</v>
      </c>
      <c r="J38" s="316">
        <f t="shared" si="0"/>
        <v>97.64072164948455</v>
      </c>
      <c r="K38" s="316"/>
      <c r="L38" s="316">
        <f t="shared" si="2"/>
        <v>100</v>
      </c>
      <c r="M38" s="316"/>
      <c r="N38" s="316" t="s">
        <v>673</v>
      </c>
      <c r="O38" s="410"/>
      <c r="P38" s="410"/>
      <c r="Q38" s="410"/>
      <c r="R38" s="410"/>
      <c r="S38" s="410"/>
      <c r="T38" s="410"/>
      <c r="U38" s="410"/>
      <c r="V38" s="119"/>
      <c r="W38" s="119"/>
    </row>
    <row r="39" spans="1:23" s="50" customFormat="1" ht="15.75">
      <c r="A39" s="317"/>
      <c r="B39" s="234" t="s">
        <v>376</v>
      </c>
      <c r="C39" s="317" t="s">
        <v>372</v>
      </c>
      <c r="D39" s="322"/>
      <c r="E39" s="322"/>
      <c r="F39" s="674">
        <v>0</v>
      </c>
      <c r="G39" s="322"/>
      <c r="H39" s="116"/>
      <c r="I39" s="322"/>
      <c r="J39" s="316"/>
      <c r="K39" s="316"/>
      <c r="L39" s="316"/>
      <c r="M39" s="322"/>
      <c r="N39" s="322"/>
      <c r="O39" s="410"/>
      <c r="P39" s="410"/>
      <c r="Q39" s="410"/>
      <c r="R39" s="410"/>
      <c r="S39" s="410"/>
      <c r="T39" s="410"/>
      <c r="U39" s="410"/>
      <c r="V39" s="119"/>
      <c r="W39" s="119"/>
    </row>
    <row r="40" spans="1:23" s="50" customFormat="1" ht="15.75">
      <c r="A40" s="317"/>
      <c r="B40" s="234" t="s">
        <v>377</v>
      </c>
      <c r="C40" s="317" t="s">
        <v>372</v>
      </c>
      <c r="D40" s="321"/>
      <c r="E40" s="321"/>
      <c r="F40" s="673">
        <v>0</v>
      </c>
      <c r="G40" s="321"/>
      <c r="H40" s="116"/>
      <c r="I40" s="321"/>
      <c r="J40" s="316"/>
      <c r="K40" s="316"/>
      <c r="L40" s="316"/>
      <c r="M40" s="321"/>
      <c r="N40" s="321"/>
      <c r="O40" s="410"/>
      <c r="P40" s="410"/>
      <c r="Q40" s="410"/>
      <c r="R40" s="410"/>
      <c r="S40" s="410"/>
      <c r="T40" s="410"/>
      <c r="U40" s="410"/>
      <c r="V40" s="119"/>
      <c r="W40" s="119"/>
    </row>
    <row r="41" spans="1:23" s="50" customFormat="1" ht="15.75">
      <c r="A41" s="317"/>
      <c r="B41" s="234" t="s">
        <v>378</v>
      </c>
      <c r="C41" s="317" t="s">
        <v>372</v>
      </c>
      <c r="D41" s="62"/>
      <c r="E41" s="62">
        <v>213.5</v>
      </c>
      <c r="F41" s="675">
        <v>267.7</v>
      </c>
      <c r="G41" s="62"/>
      <c r="H41" s="116"/>
      <c r="I41" s="321">
        <v>635.2</v>
      </c>
      <c r="J41" s="316"/>
      <c r="K41" s="316"/>
      <c r="L41" s="316">
        <f t="shared" si="2"/>
        <v>42.14420654911839</v>
      </c>
      <c r="M41" s="321"/>
      <c r="N41" s="321">
        <v>635.2</v>
      </c>
      <c r="O41" s="410"/>
      <c r="P41" s="410"/>
      <c r="Q41" s="410"/>
      <c r="R41" s="410"/>
      <c r="S41" s="410"/>
      <c r="T41" s="410"/>
      <c r="U41" s="410"/>
      <c r="V41" s="119"/>
      <c r="W41" s="119"/>
    </row>
    <row r="42" spans="1:23" s="50" customFormat="1" ht="15.75">
      <c r="A42" s="317"/>
      <c r="B42" s="234" t="s">
        <v>379</v>
      </c>
      <c r="C42" s="317" t="s">
        <v>372</v>
      </c>
      <c r="D42" s="318"/>
      <c r="E42" s="318"/>
      <c r="F42" s="672">
        <v>0</v>
      </c>
      <c r="G42" s="318"/>
      <c r="H42" s="116"/>
      <c r="I42" s="318"/>
      <c r="J42" s="316"/>
      <c r="K42" s="316"/>
      <c r="L42" s="316"/>
      <c r="M42" s="318"/>
      <c r="N42" s="318"/>
      <c r="O42" s="410">
        <v>23</v>
      </c>
      <c r="P42" s="410"/>
      <c r="Q42" s="410"/>
      <c r="R42" s="410"/>
      <c r="S42" s="410"/>
      <c r="T42" s="410"/>
      <c r="U42" s="410"/>
      <c r="V42" s="119"/>
      <c r="W42" s="119"/>
    </row>
    <row r="43" spans="1:23" s="50" customFormat="1" ht="15.75">
      <c r="A43" s="317"/>
      <c r="B43" s="234" t="s">
        <v>380</v>
      </c>
      <c r="C43" s="317" t="s">
        <v>372</v>
      </c>
      <c r="D43" s="318"/>
      <c r="E43" s="318"/>
      <c r="F43" s="672"/>
      <c r="G43" s="318"/>
      <c r="H43" s="116"/>
      <c r="I43" s="318"/>
      <c r="J43" s="316"/>
      <c r="K43" s="316"/>
      <c r="L43" s="316"/>
      <c r="M43" s="318"/>
      <c r="N43" s="318"/>
      <c r="O43" s="410"/>
      <c r="P43" s="410"/>
      <c r="Q43" s="410"/>
      <c r="R43" s="410"/>
      <c r="S43" s="410"/>
      <c r="T43" s="410"/>
      <c r="U43" s="410"/>
      <c r="V43" s="119"/>
      <c r="W43" s="119"/>
    </row>
    <row r="44" spans="1:23" s="468" customFormat="1" ht="15.75">
      <c r="A44" s="689" t="s">
        <v>46</v>
      </c>
      <c r="B44" s="638" t="s">
        <v>381</v>
      </c>
      <c r="C44" s="689"/>
      <c r="D44" s="690">
        <v>29</v>
      </c>
      <c r="E44" s="690">
        <f>SUM(E45:E51)</f>
        <v>27</v>
      </c>
      <c r="F44" s="691">
        <v>23</v>
      </c>
      <c r="G44" s="690">
        <v>28</v>
      </c>
      <c r="H44" s="532">
        <v>23</v>
      </c>
      <c r="I44" s="690">
        <f>SUM(I45:I51)</f>
        <v>27</v>
      </c>
      <c r="J44" s="692">
        <f t="shared" si="0"/>
        <v>82.14285714285714</v>
      </c>
      <c r="K44" s="692">
        <f t="shared" si="1"/>
        <v>100</v>
      </c>
      <c r="L44" s="692">
        <f t="shared" si="2"/>
        <v>85.18518518518519</v>
      </c>
      <c r="M44" s="690"/>
      <c r="N44" s="690">
        <f>SUM(N45:N51)</f>
        <v>27</v>
      </c>
      <c r="O44" s="465"/>
      <c r="P44" s="465"/>
      <c r="Q44" s="465"/>
      <c r="R44" s="465">
        <v>23</v>
      </c>
      <c r="S44" s="465"/>
      <c r="T44" s="465"/>
      <c r="U44" s="465"/>
      <c r="V44" s="606"/>
      <c r="W44" s="606"/>
    </row>
    <row r="45" spans="1:23" s="50" customFormat="1" ht="15.75">
      <c r="A45" s="317">
        <v>1</v>
      </c>
      <c r="B45" s="234" t="s">
        <v>382</v>
      </c>
      <c r="C45" s="317" t="s">
        <v>383</v>
      </c>
      <c r="D45" s="318">
        <v>1</v>
      </c>
      <c r="E45" s="318"/>
      <c r="F45" s="672"/>
      <c r="G45" s="318"/>
      <c r="H45" s="116"/>
      <c r="I45" s="318"/>
      <c r="J45" s="316"/>
      <c r="K45" s="316"/>
      <c r="L45" s="316"/>
      <c r="M45" s="318"/>
      <c r="N45" s="318"/>
      <c r="O45" s="410"/>
      <c r="P45" s="410"/>
      <c r="Q45" s="410"/>
      <c r="R45" s="410"/>
      <c r="S45" s="410"/>
      <c r="T45" s="410"/>
      <c r="U45" s="410"/>
      <c r="V45" s="119"/>
      <c r="W45" s="119"/>
    </row>
    <row r="46" spans="1:23" s="50" customFormat="1" ht="15.75">
      <c r="A46" s="317">
        <v>2</v>
      </c>
      <c r="B46" s="234" t="s">
        <v>384</v>
      </c>
      <c r="C46" s="317" t="s">
        <v>385</v>
      </c>
      <c r="D46" s="318">
        <v>1</v>
      </c>
      <c r="E46" s="318">
        <v>1</v>
      </c>
      <c r="F46" s="672">
        <v>1</v>
      </c>
      <c r="G46" s="318">
        <v>1</v>
      </c>
      <c r="H46" s="116">
        <v>1</v>
      </c>
      <c r="I46" s="318">
        <v>1</v>
      </c>
      <c r="J46" s="316">
        <f t="shared" si="0"/>
        <v>100</v>
      </c>
      <c r="K46" s="316">
        <f t="shared" si="1"/>
        <v>100</v>
      </c>
      <c r="L46" s="316">
        <f t="shared" si="2"/>
        <v>100</v>
      </c>
      <c r="M46" s="318"/>
      <c r="N46" s="318">
        <v>1</v>
      </c>
      <c r="O46" s="410"/>
      <c r="P46" s="410"/>
      <c r="Q46" s="410"/>
      <c r="R46" s="410">
        <v>1</v>
      </c>
      <c r="S46" s="410"/>
      <c r="T46" s="410"/>
      <c r="U46" s="410"/>
      <c r="V46" s="119"/>
      <c r="W46" s="119"/>
    </row>
    <row r="47" spans="1:23" s="50" customFormat="1" ht="15.75">
      <c r="A47" s="317">
        <v>3</v>
      </c>
      <c r="B47" s="234" t="s">
        <v>386</v>
      </c>
      <c r="C47" s="317" t="s">
        <v>387</v>
      </c>
      <c r="D47" s="318">
        <v>3</v>
      </c>
      <c r="E47" s="318">
        <v>2</v>
      </c>
      <c r="F47" s="672"/>
      <c r="G47" s="318">
        <v>3</v>
      </c>
      <c r="H47" s="116"/>
      <c r="I47" s="318">
        <v>2</v>
      </c>
      <c r="J47" s="316"/>
      <c r="K47" s="316"/>
      <c r="L47" s="316"/>
      <c r="M47" s="318"/>
      <c r="N47" s="318">
        <v>2</v>
      </c>
      <c r="O47" s="410"/>
      <c r="P47" s="410"/>
      <c r="Q47" s="410"/>
      <c r="R47" s="410"/>
      <c r="S47" s="410"/>
      <c r="T47" s="410"/>
      <c r="U47" s="410"/>
      <c r="V47" s="119"/>
      <c r="W47" s="119"/>
    </row>
    <row r="48" spans="1:23" s="50" customFormat="1" ht="15.75">
      <c r="A48" s="317">
        <v>4</v>
      </c>
      <c r="B48" s="234" t="s">
        <v>388</v>
      </c>
      <c r="C48" s="317" t="s">
        <v>387</v>
      </c>
      <c r="D48" s="318">
        <v>1</v>
      </c>
      <c r="E48" s="318">
        <v>1</v>
      </c>
      <c r="F48" s="672"/>
      <c r="G48" s="318">
        <v>1</v>
      </c>
      <c r="H48" s="116"/>
      <c r="I48" s="318">
        <v>1</v>
      </c>
      <c r="J48" s="316"/>
      <c r="K48" s="316"/>
      <c r="L48" s="316"/>
      <c r="M48" s="318"/>
      <c r="N48" s="318">
        <v>1</v>
      </c>
      <c r="O48" s="410"/>
      <c r="P48" s="410"/>
      <c r="Q48" s="410"/>
      <c r="R48" s="410"/>
      <c r="S48" s="410"/>
      <c r="T48" s="410"/>
      <c r="U48" s="410"/>
      <c r="V48" s="119"/>
      <c r="W48" s="119"/>
    </row>
    <row r="49" spans="1:23" s="50" customFormat="1" ht="15.75">
      <c r="A49" s="317">
        <v>5</v>
      </c>
      <c r="B49" s="234" t="s">
        <v>389</v>
      </c>
      <c r="C49" s="317" t="s">
        <v>390</v>
      </c>
      <c r="D49" s="318">
        <v>1</v>
      </c>
      <c r="E49" s="318">
        <v>1</v>
      </c>
      <c r="F49" s="672"/>
      <c r="G49" s="318">
        <v>1</v>
      </c>
      <c r="H49" s="116">
        <v>1</v>
      </c>
      <c r="I49" s="318">
        <v>1</v>
      </c>
      <c r="J49" s="316"/>
      <c r="K49" s="316"/>
      <c r="L49" s="316"/>
      <c r="M49" s="318"/>
      <c r="N49" s="318">
        <v>1</v>
      </c>
      <c r="O49" s="410"/>
      <c r="P49" s="410"/>
      <c r="Q49" s="410"/>
      <c r="R49" s="410">
        <v>1</v>
      </c>
      <c r="S49" s="410"/>
      <c r="T49" s="410"/>
      <c r="U49" s="410"/>
      <c r="V49" s="119"/>
      <c r="W49" s="119"/>
    </row>
    <row r="50" spans="1:23" s="50" customFormat="1" ht="15.75">
      <c r="A50" s="317">
        <v>6</v>
      </c>
      <c r="B50" s="234" t="s">
        <v>391</v>
      </c>
      <c r="C50" s="317" t="s">
        <v>390</v>
      </c>
      <c r="D50" s="318">
        <v>1</v>
      </c>
      <c r="E50" s="318">
        <v>1</v>
      </c>
      <c r="F50" s="672"/>
      <c r="G50" s="318">
        <v>1</v>
      </c>
      <c r="H50" s="116"/>
      <c r="I50" s="318">
        <v>1</v>
      </c>
      <c r="J50" s="316"/>
      <c r="K50" s="316"/>
      <c r="L50" s="316"/>
      <c r="M50" s="318"/>
      <c r="N50" s="318">
        <v>1</v>
      </c>
      <c r="O50" s="410"/>
      <c r="P50" s="410"/>
      <c r="Q50" s="410"/>
      <c r="R50" s="410"/>
      <c r="S50" s="410"/>
      <c r="T50" s="410"/>
      <c r="U50" s="410"/>
      <c r="V50" s="119"/>
      <c r="W50" s="119"/>
    </row>
    <row r="51" spans="1:23" s="50" customFormat="1" ht="15.75">
      <c r="A51" s="317">
        <v>7</v>
      </c>
      <c r="B51" s="234" t="s">
        <v>392</v>
      </c>
      <c r="C51" s="317" t="s">
        <v>393</v>
      </c>
      <c r="D51" s="318">
        <v>21</v>
      </c>
      <c r="E51" s="318">
        <v>21</v>
      </c>
      <c r="F51" s="672">
        <v>21</v>
      </c>
      <c r="G51" s="318">
        <v>21</v>
      </c>
      <c r="H51" s="116">
        <v>21</v>
      </c>
      <c r="I51" s="318">
        <v>21</v>
      </c>
      <c r="J51" s="316">
        <f t="shared" si="0"/>
        <v>100</v>
      </c>
      <c r="K51" s="316">
        <f t="shared" si="1"/>
        <v>100</v>
      </c>
      <c r="L51" s="316">
        <f t="shared" si="2"/>
        <v>100</v>
      </c>
      <c r="M51" s="318"/>
      <c r="N51" s="318">
        <v>21</v>
      </c>
      <c r="O51" s="410"/>
      <c r="P51" s="410"/>
      <c r="Q51" s="410"/>
      <c r="R51" s="410">
        <v>21</v>
      </c>
      <c r="S51" s="410"/>
      <c r="T51" s="410"/>
      <c r="U51" s="410"/>
      <c r="V51" s="119"/>
      <c r="W51" s="119"/>
    </row>
    <row r="52" spans="1:23" s="50" customFormat="1" ht="15.75">
      <c r="A52" s="317">
        <v>8</v>
      </c>
      <c r="B52" s="234" t="s">
        <v>394</v>
      </c>
      <c r="C52" s="317" t="s">
        <v>23</v>
      </c>
      <c r="D52" s="318">
        <v>100</v>
      </c>
      <c r="E52" s="318">
        <v>100</v>
      </c>
      <c r="F52" s="672"/>
      <c r="G52" s="318">
        <v>100</v>
      </c>
      <c r="H52" s="116">
        <v>100</v>
      </c>
      <c r="I52" s="318">
        <v>100</v>
      </c>
      <c r="J52" s="316"/>
      <c r="K52" s="316"/>
      <c r="L52" s="316"/>
      <c r="M52" s="318"/>
      <c r="N52" s="318">
        <v>100</v>
      </c>
      <c r="O52" s="410"/>
      <c r="P52" s="410"/>
      <c r="Q52" s="410"/>
      <c r="R52" s="410">
        <v>100</v>
      </c>
      <c r="S52" s="410"/>
      <c r="T52" s="410"/>
      <c r="U52" s="410"/>
      <c r="V52" s="119"/>
      <c r="W52" s="119"/>
    </row>
    <row r="53" spans="1:23" s="468" customFormat="1" ht="15.75">
      <c r="A53" s="689" t="s">
        <v>53</v>
      </c>
      <c r="B53" s="638" t="s">
        <v>395</v>
      </c>
      <c r="C53" s="689" t="s">
        <v>396</v>
      </c>
      <c r="D53" s="690">
        <v>188</v>
      </c>
      <c r="E53" s="690">
        <f>SUM(E56:E58)</f>
        <v>188</v>
      </c>
      <c r="F53" s="691">
        <v>185</v>
      </c>
      <c r="G53" s="690">
        <v>188</v>
      </c>
      <c r="H53" s="532">
        <v>188</v>
      </c>
      <c r="I53" s="690">
        <v>203</v>
      </c>
      <c r="J53" s="692">
        <f t="shared" si="0"/>
        <v>98.40425531914893</v>
      </c>
      <c r="K53" s="692">
        <f t="shared" si="1"/>
        <v>98.40425531914893</v>
      </c>
      <c r="L53" s="692">
        <f t="shared" si="2"/>
        <v>91.13300492610837</v>
      </c>
      <c r="M53" s="690"/>
      <c r="N53" s="690">
        <v>203</v>
      </c>
      <c r="O53" s="465">
        <v>12.2</v>
      </c>
      <c r="P53" s="465"/>
      <c r="Q53" s="465"/>
      <c r="R53" s="465">
        <v>188</v>
      </c>
      <c r="S53" s="465"/>
      <c r="T53" s="465"/>
      <c r="U53" s="465"/>
      <c r="V53" s="606"/>
      <c r="W53" s="606"/>
    </row>
    <row r="54" spans="1:23" s="50" customFormat="1" ht="15.75">
      <c r="A54" s="317">
        <v>1</v>
      </c>
      <c r="B54" s="234" t="s">
        <v>397</v>
      </c>
      <c r="C54" s="317" t="s">
        <v>396</v>
      </c>
      <c r="D54" s="318">
        <v>125</v>
      </c>
      <c r="E54" s="318">
        <v>125</v>
      </c>
      <c r="F54" s="672">
        <v>125</v>
      </c>
      <c r="G54" s="318">
        <v>125</v>
      </c>
      <c r="H54" s="116">
        <v>125</v>
      </c>
      <c r="I54" s="318">
        <v>140</v>
      </c>
      <c r="J54" s="316">
        <f t="shared" si="0"/>
        <v>100</v>
      </c>
      <c r="K54" s="316">
        <f t="shared" si="1"/>
        <v>100</v>
      </c>
      <c r="L54" s="316">
        <f t="shared" si="2"/>
        <v>89.28571428571429</v>
      </c>
      <c r="M54" s="318"/>
      <c r="N54" s="318">
        <v>140</v>
      </c>
      <c r="O54" s="410"/>
      <c r="P54" s="410"/>
      <c r="Q54" s="410"/>
      <c r="R54" s="410">
        <v>125</v>
      </c>
      <c r="S54" s="410"/>
      <c r="T54" s="410"/>
      <c r="U54" s="410"/>
      <c r="V54" s="119"/>
      <c r="W54" s="119"/>
    </row>
    <row r="55" spans="1:23" s="50" customFormat="1" ht="15.75">
      <c r="A55" s="19"/>
      <c r="B55" s="234" t="s">
        <v>398</v>
      </c>
      <c r="C55" s="317" t="s">
        <v>399</v>
      </c>
      <c r="D55" s="316">
        <f>125/D74*10000</f>
        <v>12.174929385409564</v>
      </c>
      <c r="E55" s="316">
        <f>E54/E74*10000</f>
        <v>12.038098173098222</v>
      </c>
      <c r="F55" s="671"/>
      <c r="G55" s="316">
        <v>12</v>
      </c>
      <c r="H55" s="116">
        <v>12</v>
      </c>
      <c r="I55" s="165">
        <f>I54/I74*10000</f>
        <v>13.336000533440021</v>
      </c>
      <c r="J55" s="316">
        <f t="shared" si="0"/>
        <v>0</v>
      </c>
      <c r="K55" s="316">
        <f t="shared" si="1"/>
        <v>0</v>
      </c>
      <c r="L55" s="316">
        <f t="shared" si="2"/>
        <v>0</v>
      </c>
      <c r="M55" s="165"/>
      <c r="N55" s="165">
        <f>N54/N74*10000</f>
        <v>13.336000533440021</v>
      </c>
      <c r="O55" s="410"/>
      <c r="P55" s="410"/>
      <c r="Q55" s="410"/>
      <c r="R55" s="410">
        <v>12</v>
      </c>
      <c r="S55" s="410"/>
      <c r="T55" s="410"/>
      <c r="U55" s="410"/>
      <c r="V55" s="119"/>
      <c r="W55" s="119"/>
    </row>
    <row r="56" spans="1:23" s="50" customFormat="1" ht="15.75">
      <c r="A56" s="317"/>
      <c r="B56" s="234" t="s">
        <v>400</v>
      </c>
      <c r="C56" s="317" t="s">
        <v>396</v>
      </c>
      <c r="D56" s="318">
        <v>115</v>
      </c>
      <c r="E56" s="318">
        <v>115</v>
      </c>
      <c r="F56" s="672">
        <v>115</v>
      </c>
      <c r="G56" s="318">
        <v>115</v>
      </c>
      <c r="H56" s="116">
        <v>115</v>
      </c>
      <c r="I56" s="318">
        <v>130</v>
      </c>
      <c r="J56" s="316">
        <f t="shared" si="0"/>
        <v>100</v>
      </c>
      <c r="K56" s="316">
        <f t="shared" si="1"/>
        <v>100</v>
      </c>
      <c r="L56" s="316">
        <f t="shared" si="2"/>
        <v>88.46153846153845</v>
      </c>
      <c r="M56" s="318"/>
      <c r="N56" s="318">
        <v>130</v>
      </c>
      <c r="O56" s="410"/>
      <c r="P56" s="410"/>
      <c r="Q56" s="410"/>
      <c r="R56" s="410">
        <v>115</v>
      </c>
      <c r="S56" s="410"/>
      <c r="T56" s="410"/>
      <c r="U56" s="410"/>
      <c r="V56" s="119"/>
      <c r="W56" s="119"/>
    </row>
    <row r="57" spans="1:23" s="50" customFormat="1" ht="15.75">
      <c r="A57" s="317"/>
      <c r="B57" s="234" t="s">
        <v>401</v>
      </c>
      <c r="C57" s="317" t="s">
        <v>396</v>
      </c>
      <c r="D57" s="318">
        <v>10</v>
      </c>
      <c r="E57" s="318">
        <v>10</v>
      </c>
      <c r="F57" s="672">
        <v>10</v>
      </c>
      <c r="G57" s="318">
        <v>10</v>
      </c>
      <c r="H57" s="116">
        <v>10</v>
      </c>
      <c r="I57" s="318">
        <v>10</v>
      </c>
      <c r="J57" s="316">
        <f t="shared" si="0"/>
        <v>100</v>
      </c>
      <c r="K57" s="316">
        <f t="shared" si="1"/>
        <v>100</v>
      </c>
      <c r="L57" s="316">
        <f t="shared" si="2"/>
        <v>100</v>
      </c>
      <c r="M57" s="318"/>
      <c r="N57" s="318">
        <v>10</v>
      </c>
      <c r="O57" s="410"/>
      <c r="P57" s="410"/>
      <c r="Q57" s="410"/>
      <c r="R57" s="410">
        <v>10</v>
      </c>
      <c r="S57" s="410"/>
      <c r="T57" s="410"/>
      <c r="U57" s="410"/>
      <c r="V57" s="119"/>
      <c r="W57" s="119"/>
    </row>
    <row r="58" spans="1:23" s="50" customFormat="1" ht="15.75">
      <c r="A58" s="317">
        <v>2</v>
      </c>
      <c r="B58" s="234" t="s">
        <v>402</v>
      </c>
      <c r="C58" s="317" t="s">
        <v>396</v>
      </c>
      <c r="D58" s="318">
        <v>63</v>
      </c>
      <c r="E58" s="318">
        <v>63</v>
      </c>
      <c r="F58" s="672">
        <v>60</v>
      </c>
      <c r="G58" s="318">
        <v>63</v>
      </c>
      <c r="H58" s="116">
        <v>63</v>
      </c>
      <c r="I58" s="318">
        <v>63</v>
      </c>
      <c r="J58" s="316">
        <f t="shared" si="0"/>
        <v>95.23809523809523</v>
      </c>
      <c r="K58" s="316">
        <f t="shared" si="1"/>
        <v>95.23809523809523</v>
      </c>
      <c r="L58" s="316">
        <f t="shared" si="2"/>
        <v>95.23809523809523</v>
      </c>
      <c r="M58" s="318"/>
      <c r="N58" s="318">
        <v>63</v>
      </c>
      <c r="O58" s="410"/>
      <c r="P58" s="410"/>
      <c r="Q58" s="410"/>
      <c r="R58" s="410">
        <v>63</v>
      </c>
      <c r="S58" s="410"/>
      <c r="T58" s="410"/>
      <c r="U58" s="410"/>
      <c r="V58" s="119"/>
      <c r="W58" s="119"/>
    </row>
    <row r="59" spans="1:23" s="50" customFormat="1" ht="15.75">
      <c r="A59" s="314" t="s">
        <v>214</v>
      </c>
      <c r="B59" s="84" t="s">
        <v>403</v>
      </c>
      <c r="C59" s="314"/>
      <c r="D59" s="316"/>
      <c r="E59" s="316"/>
      <c r="F59" s="671"/>
      <c r="G59" s="316"/>
      <c r="H59" s="116"/>
      <c r="I59" s="321"/>
      <c r="J59" s="316"/>
      <c r="K59" s="316"/>
      <c r="L59" s="316"/>
      <c r="M59" s="321"/>
      <c r="N59" s="321"/>
      <c r="O59" s="410">
        <v>7.11</v>
      </c>
      <c r="P59" s="410"/>
      <c r="Q59" s="410"/>
      <c r="R59" s="410"/>
      <c r="S59" s="410"/>
      <c r="T59" s="410"/>
      <c r="U59" s="410"/>
      <c r="V59" s="119"/>
      <c r="W59" s="119"/>
    </row>
    <row r="60" spans="1:23" s="50" customFormat="1" ht="15.75">
      <c r="A60" s="19"/>
      <c r="B60" s="234" t="s">
        <v>404</v>
      </c>
      <c r="C60" s="317" t="s">
        <v>405</v>
      </c>
      <c r="D60" s="318">
        <v>70</v>
      </c>
      <c r="E60" s="318">
        <v>70</v>
      </c>
      <c r="F60" s="672">
        <v>72</v>
      </c>
      <c r="G60" s="318">
        <v>65</v>
      </c>
      <c r="H60" s="116"/>
      <c r="I60" s="318">
        <v>73</v>
      </c>
      <c r="J60" s="316">
        <f t="shared" si="0"/>
        <v>110.76923076923077</v>
      </c>
      <c r="K60" s="316"/>
      <c r="L60" s="316">
        <f t="shared" si="2"/>
        <v>98.63013698630137</v>
      </c>
      <c r="M60" s="318"/>
      <c r="N60" s="318">
        <v>73</v>
      </c>
      <c r="O60" s="410">
        <v>0.58</v>
      </c>
      <c r="P60" s="410"/>
      <c r="Q60" s="410"/>
      <c r="R60" s="410"/>
      <c r="S60" s="410"/>
      <c r="T60" s="410"/>
      <c r="U60" s="410"/>
      <c r="V60" s="119"/>
      <c r="W60" s="119"/>
    </row>
    <row r="61" spans="1:23" s="50" customFormat="1" ht="15.75">
      <c r="A61" s="317">
        <v>1</v>
      </c>
      <c r="B61" s="234" t="s">
        <v>406</v>
      </c>
      <c r="C61" s="317" t="s">
        <v>399</v>
      </c>
      <c r="D61" s="316">
        <v>6.7</v>
      </c>
      <c r="E61" s="316">
        <f>E60/E74*10000</f>
        <v>6.741334976935004</v>
      </c>
      <c r="F61" s="696">
        <f>F60/F74*10000</f>
        <v>6.896023293234235</v>
      </c>
      <c r="G61" s="316">
        <v>6.2</v>
      </c>
      <c r="H61" s="116">
        <v>6.87</v>
      </c>
      <c r="I61" s="316">
        <f>I60/I74*10000</f>
        <v>6.953771706722296</v>
      </c>
      <c r="J61" s="316">
        <f t="shared" si="0"/>
        <v>111.22618214893927</v>
      </c>
      <c r="K61" s="316">
        <f t="shared" si="1"/>
        <v>100.37879611694665</v>
      </c>
      <c r="L61" s="316">
        <f t="shared" si="2"/>
        <v>99.1695382603338</v>
      </c>
      <c r="M61" s="316"/>
      <c r="N61" s="316">
        <f>N60/N74*10000</f>
        <v>6.953771706722296</v>
      </c>
      <c r="O61" s="410"/>
      <c r="P61" s="410"/>
      <c r="Q61" s="410"/>
      <c r="R61" s="410">
        <v>6.74</v>
      </c>
      <c r="S61" s="410"/>
      <c r="T61" s="410"/>
      <c r="U61" s="410"/>
      <c r="V61" s="119"/>
      <c r="W61" s="119"/>
    </row>
    <row r="62" spans="1:23" s="50" customFormat="1" ht="15.75">
      <c r="A62" s="317">
        <v>2</v>
      </c>
      <c r="B62" s="234" t="s">
        <v>407</v>
      </c>
      <c r="C62" s="317" t="s">
        <v>399</v>
      </c>
      <c r="D62" s="316">
        <f>6/D74*10000</f>
        <v>0.5843966104996592</v>
      </c>
      <c r="E62" s="316">
        <f>6/E74*10000</f>
        <v>0.5778287123087146</v>
      </c>
      <c r="F62" s="671">
        <f>5/F74*10000</f>
        <v>0.47889050647459963</v>
      </c>
      <c r="G62" s="316">
        <v>0.6</v>
      </c>
      <c r="H62" s="391">
        <v>0.57</v>
      </c>
      <c r="I62" s="316">
        <f>6/I74*10000</f>
        <v>0.5715428800045723</v>
      </c>
      <c r="J62" s="316">
        <f t="shared" si="0"/>
        <v>79.81508441243328</v>
      </c>
      <c r="K62" s="316">
        <f t="shared" si="1"/>
        <v>84.01587832887714</v>
      </c>
      <c r="L62" s="316">
        <f t="shared" si="2"/>
        <v>83.78907746532833</v>
      </c>
      <c r="M62" s="316"/>
      <c r="N62" s="316">
        <f>6/N74*10000</f>
        <v>0.5715428800045723</v>
      </c>
      <c r="O62" s="410"/>
      <c r="P62" s="410"/>
      <c r="Q62" s="410"/>
      <c r="R62" s="410">
        <v>0.6</v>
      </c>
      <c r="S62" s="410"/>
      <c r="T62" s="410"/>
      <c r="U62" s="410"/>
      <c r="V62" s="119"/>
      <c r="W62" s="119"/>
    </row>
    <row r="63" spans="1:23" s="50" customFormat="1" ht="15.75">
      <c r="A63" s="317">
        <v>3</v>
      </c>
      <c r="B63" s="234" t="s">
        <v>408</v>
      </c>
      <c r="C63" s="317" t="s">
        <v>23</v>
      </c>
      <c r="D63" s="316">
        <v>100</v>
      </c>
      <c r="E63" s="316">
        <v>100</v>
      </c>
      <c r="F63" s="671">
        <v>21</v>
      </c>
      <c r="G63" s="316">
        <v>100</v>
      </c>
      <c r="H63" s="116">
        <v>100</v>
      </c>
      <c r="I63" s="228">
        <v>100</v>
      </c>
      <c r="J63" s="316">
        <f t="shared" si="0"/>
        <v>21</v>
      </c>
      <c r="K63" s="316">
        <f t="shared" si="1"/>
        <v>21</v>
      </c>
      <c r="L63" s="316">
        <f t="shared" si="2"/>
        <v>21</v>
      </c>
      <c r="M63" s="228"/>
      <c r="N63" s="228">
        <v>100</v>
      </c>
      <c r="O63" s="410"/>
      <c r="P63" s="410"/>
      <c r="Q63" s="410"/>
      <c r="R63" s="410">
        <v>100</v>
      </c>
      <c r="S63" s="410"/>
      <c r="T63" s="410"/>
      <c r="U63" s="410"/>
      <c r="V63" s="119"/>
      <c r="W63" s="119"/>
    </row>
    <row r="64" spans="1:23" s="50" customFormat="1" ht="15.75">
      <c r="A64" s="317">
        <v>4</v>
      </c>
      <c r="B64" s="101" t="s">
        <v>639</v>
      </c>
      <c r="C64" s="317" t="s">
        <v>399</v>
      </c>
      <c r="D64" s="316">
        <v>5.3</v>
      </c>
      <c r="E64" s="316">
        <f>74/E74*10000</f>
        <v>7.1265541184741465</v>
      </c>
      <c r="F64" s="671">
        <v>74</v>
      </c>
      <c r="G64" s="316">
        <v>5.3</v>
      </c>
      <c r="H64" s="116"/>
      <c r="I64" s="316">
        <f>75/I74*10000</f>
        <v>7.1442860000571535</v>
      </c>
      <c r="J64" s="316">
        <f t="shared" si="0"/>
        <v>1396.2264150943397</v>
      </c>
      <c r="K64" s="316"/>
      <c r="L64" s="316">
        <f t="shared" si="2"/>
        <v>1035.7928000000002</v>
      </c>
      <c r="M64" s="316"/>
      <c r="N64" s="316">
        <f>75/N74*10000</f>
        <v>7.1442860000571535</v>
      </c>
      <c r="O64" s="410"/>
      <c r="P64" s="410"/>
      <c r="Q64" s="410"/>
      <c r="R64" s="410"/>
      <c r="S64" s="410"/>
      <c r="T64" s="410"/>
      <c r="U64" s="410"/>
      <c r="V64" s="119"/>
      <c r="W64" s="119"/>
    </row>
    <row r="65" spans="1:23" s="50" customFormat="1" ht="15.75">
      <c r="A65" s="317">
        <v>5</v>
      </c>
      <c r="B65" s="234" t="s">
        <v>409</v>
      </c>
      <c r="C65" s="317" t="s">
        <v>182</v>
      </c>
      <c r="D65" s="316">
        <v>100</v>
      </c>
      <c r="E65" s="316">
        <v>100</v>
      </c>
      <c r="F65" s="671">
        <v>100</v>
      </c>
      <c r="G65" s="316">
        <v>100</v>
      </c>
      <c r="H65" s="116">
        <v>100</v>
      </c>
      <c r="I65" s="228">
        <v>100</v>
      </c>
      <c r="J65" s="316">
        <f t="shared" si="0"/>
        <v>100</v>
      </c>
      <c r="K65" s="316">
        <f t="shared" si="1"/>
        <v>100</v>
      </c>
      <c r="L65" s="316">
        <f t="shared" si="2"/>
        <v>100</v>
      </c>
      <c r="M65" s="228"/>
      <c r="N65" s="228">
        <v>100</v>
      </c>
      <c r="O65" s="410"/>
      <c r="P65" s="410"/>
      <c r="Q65" s="410"/>
      <c r="R65" s="410">
        <v>95.2</v>
      </c>
      <c r="S65" s="410"/>
      <c r="T65" s="410"/>
      <c r="U65" s="410"/>
      <c r="V65" s="119"/>
      <c r="W65" s="119"/>
    </row>
    <row r="66" spans="1:23" s="50" customFormat="1" ht="15.75">
      <c r="A66" s="317">
        <v>6</v>
      </c>
      <c r="B66" s="234" t="s">
        <v>658</v>
      </c>
      <c r="C66" s="317"/>
      <c r="D66" s="323"/>
      <c r="E66" s="229">
        <v>85</v>
      </c>
      <c r="F66" s="676">
        <v>84</v>
      </c>
      <c r="G66" s="229">
        <v>86</v>
      </c>
      <c r="H66" s="116">
        <v>89</v>
      </c>
      <c r="I66" s="228">
        <v>85</v>
      </c>
      <c r="J66" s="316">
        <f t="shared" si="0"/>
        <v>97.67441860465115</v>
      </c>
      <c r="K66" s="316">
        <f t="shared" si="1"/>
        <v>94.3820224719101</v>
      </c>
      <c r="L66" s="316">
        <f t="shared" si="2"/>
        <v>98.82352941176471</v>
      </c>
      <c r="M66" s="228"/>
      <c r="N66" s="228">
        <v>85</v>
      </c>
      <c r="O66" s="410"/>
      <c r="P66" s="410"/>
      <c r="Q66" s="410"/>
      <c r="R66" s="410">
        <v>89</v>
      </c>
      <c r="S66" s="410"/>
      <c r="T66" s="410"/>
      <c r="U66" s="410"/>
      <c r="V66" s="119"/>
      <c r="W66" s="119"/>
    </row>
    <row r="67" spans="1:23" s="50" customFormat="1" ht="15.75">
      <c r="A67" s="317">
        <v>7</v>
      </c>
      <c r="B67" s="234" t="s">
        <v>410</v>
      </c>
      <c r="C67" s="317" t="s">
        <v>23</v>
      </c>
      <c r="D67" s="323">
        <f>83/275*100</f>
        <v>30.181818181818183</v>
      </c>
      <c r="E67" s="323">
        <f>E66/275*100</f>
        <v>30.909090909090907</v>
      </c>
      <c r="F67" s="677">
        <f>F66/275*100</f>
        <v>30.545454545454547</v>
      </c>
      <c r="G67" s="323">
        <f>G66/275*100</f>
        <v>31.272727272727273</v>
      </c>
      <c r="H67" s="116">
        <v>93.5</v>
      </c>
      <c r="I67" s="323">
        <v>93.5</v>
      </c>
      <c r="J67" s="316">
        <f t="shared" si="0"/>
        <v>97.67441860465117</v>
      </c>
      <c r="K67" s="316">
        <f t="shared" si="1"/>
        <v>32.668935342732134</v>
      </c>
      <c r="L67" s="316">
        <f t="shared" si="2"/>
        <v>32.668935342732134</v>
      </c>
      <c r="M67" s="324"/>
      <c r="N67" s="323">
        <v>93.5</v>
      </c>
      <c r="O67" s="410"/>
      <c r="P67" s="410"/>
      <c r="Q67" s="410"/>
      <c r="R67" s="410">
        <v>95.7</v>
      </c>
      <c r="S67" s="410" t="s">
        <v>659</v>
      </c>
      <c r="T67" s="410"/>
      <c r="U67" s="410"/>
      <c r="V67" s="119"/>
      <c r="W67" s="119"/>
    </row>
    <row r="68" spans="1:23" s="50" customFormat="1" ht="15.75">
      <c r="A68" s="314" t="s">
        <v>234</v>
      </c>
      <c r="B68" s="84" t="s">
        <v>411</v>
      </c>
      <c r="C68" s="317"/>
      <c r="D68" s="318"/>
      <c r="E68" s="318"/>
      <c r="F68" s="672"/>
      <c r="G68" s="318"/>
      <c r="H68" s="116"/>
      <c r="I68" s="318"/>
      <c r="J68" s="316"/>
      <c r="K68" s="316"/>
      <c r="L68" s="316"/>
      <c r="M68" s="318"/>
      <c r="N68" s="318"/>
      <c r="O68" s="410"/>
      <c r="P68" s="410"/>
      <c r="Q68" s="410"/>
      <c r="R68" s="410"/>
      <c r="S68" s="410"/>
      <c r="T68" s="410"/>
      <c r="U68" s="410"/>
      <c r="V68" s="119"/>
      <c r="W68" s="119"/>
    </row>
    <row r="69" spans="1:23" s="43" customFormat="1" ht="15.75">
      <c r="A69" s="317">
        <v>1</v>
      </c>
      <c r="B69" s="234" t="s">
        <v>682</v>
      </c>
      <c r="C69" s="317" t="s">
        <v>261</v>
      </c>
      <c r="D69" s="397" t="s">
        <v>61</v>
      </c>
      <c r="E69" s="318">
        <v>10</v>
      </c>
      <c r="F69" s="672">
        <v>10</v>
      </c>
      <c r="G69" s="318">
        <v>21</v>
      </c>
      <c r="H69" s="397">
        <v>10</v>
      </c>
      <c r="I69" s="318">
        <v>10</v>
      </c>
      <c r="J69" s="316">
        <f t="shared" si="0"/>
        <v>47.61904761904761</v>
      </c>
      <c r="K69" s="316">
        <f t="shared" si="1"/>
        <v>100</v>
      </c>
      <c r="L69" s="316">
        <f t="shared" si="2"/>
        <v>100</v>
      </c>
      <c r="M69" s="328"/>
      <c r="N69" s="318">
        <v>10</v>
      </c>
      <c r="O69" s="409"/>
      <c r="P69" s="409"/>
      <c r="Q69" s="409"/>
      <c r="R69" s="409">
        <v>21</v>
      </c>
      <c r="S69" s="409"/>
      <c r="T69" s="409"/>
      <c r="U69" s="409"/>
      <c r="V69" s="377"/>
      <c r="W69" s="377"/>
    </row>
    <row r="70" spans="1:23" s="43" customFormat="1" ht="45">
      <c r="A70" s="317">
        <v>2</v>
      </c>
      <c r="B70" s="234" t="s">
        <v>684</v>
      </c>
      <c r="C70" s="317" t="s">
        <v>261</v>
      </c>
      <c r="D70" s="397" t="s">
        <v>61</v>
      </c>
      <c r="E70" s="318"/>
      <c r="F70" s="672">
        <v>7</v>
      </c>
      <c r="G70" s="318">
        <v>100</v>
      </c>
      <c r="H70" s="397">
        <v>4</v>
      </c>
      <c r="I70" s="318">
        <v>3</v>
      </c>
      <c r="J70" s="316">
        <f t="shared" si="0"/>
        <v>7.000000000000001</v>
      </c>
      <c r="K70" s="316">
        <f t="shared" si="1"/>
        <v>175</v>
      </c>
      <c r="L70" s="316">
        <f t="shared" si="2"/>
        <v>233.33333333333334</v>
      </c>
      <c r="M70" s="328"/>
      <c r="N70" s="318">
        <v>3</v>
      </c>
      <c r="O70" s="409"/>
      <c r="P70" s="409"/>
      <c r="Q70" s="409"/>
      <c r="R70" s="409"/>
      <c r="S70" s="409"/>
      <c r="T70" s="409"/>
      <c r="U70" s="409"/>
      <c r="V70" s="377"/>
      <c r="W70" s="377"/>
    </row>
    <row r="71" spans="1:23" s="50" customFormat="1" ht="33.75" customHeight="1">
      <c r="A71" s="317">
        <v>3</v>
      </c>
      <c r="B71" s="234" t="s">
        <v>683</v>
      </c>
      <c r="C71" s="317" t="s">
        <v>23</v>
      </c>
      <c r="D71" s="318"/>
      <c r="E71" s="398">
        <v>47.61</v>
      </c>
      <c r="F71" s="678">
        <v>47.61</v>
      </c>
      <c r="G71" s="318"/>
      <c r="H71" s="399">
        <f>14/21*100</f>
        <v>66.66666666666666</v>
      </c>
      <c r="I71" s="316">
        <v>61.9</v>
      </c>
      <c r="J71" s="316"/>
      <c r="K71" s="316">
        <f t="shared" si="1"/>
        <v>71.415</v>
      </c>
      <c r="L71" s="316">
        <f t="shared" si="2"/>
        <v>76.91437802907916</v>
      </c>
      <c r="M71" s="381"/>
      <c r="N71" s="316">
        <v>61.9</v>
      </c>
      <c r="O71" s="410"/>
      <c r="P71" s="410"/>
      <c r="Q71" s="410"/>
      <c r="R71" s="410">
        <v>100</v>
      </c>
      <c r="S71" s="410"/>
      <c r="T71" s="410"/>
      <c r="U71" s="410"/>
      <c r="V71" s="119"/>
      <c r="W71" s="119"/>
    </row>
    <row r="72" spans="1:23" s="50" customFormat="1" ht="15.75">
      <c r="A72" s="314" t="s">
        <v>239</v>
      </c>
      <c r="B72" s="84" t="s">
        <v>412</v>
      </c>
      <c r="C72" s="317"/>
      <c r="D72" s="318"/>
      <c r="E72" s="318"/>
      <c r="F72" s="672"/>
      <c r="G72" s="62"/>
      <c r="H72" s="116"/>
      <c r="I72" s="318"/>
      <c r="J72" s="316"/>
      <c r="K72" s="316"/>
      <c r="L72" s="316"/>
      <c r="M72" s="318"/>
      <c r="N72" s="318"/>
      <c r="O72" s="410">
        <v>102670</v>
      </c>
      <c r="P72" s="410"/>
      <c r="Q72" s="410"/>
      <c r="R72" s="410"/>
      <c r="S72" s="410"/>
      <c r="T72" s="410"/>
      <c r="U72" s="410"/>
      <c r="V72" s="119"/>
      <c r="W72" s="119"/>
    </row>
    <row r="73" spans="1:23" s="50" customFormat="1" ht="15.75">
      <c r="A73" s="314">
        <v>1</v>
      </c>
      <c r="B73" s="84" t="s">
        <v>413</v>
      </c>
      <c r="C73" s="16"/>
      <c r="D73" s="62"/>
      <c r="E73" s="62"/>
      <c r="F73" s="675"/>
      <c r="G73" s="326"/>
      <c r="H73" s="116"/>
      <c r="I73" s="321"/>
      <c r="J73" s="316"/>
      <c r="K73" s="316"/>
      <c r="L73" s="316"/>
      <c r="M73" s="321"/>
      <c r="N73" s="321"/>
      <c r="O73" s="410"/>
      <c r="P73" s="410"/>
      <c r="Q73" s="410"/>
      <c r="R73" s="410"/>
      <c r="S73" s="410"/>
      <c r="T73" s="410"/>
      <c r="U73" s="410"/>
      <c r="V73" s="119"/>
      <c r="W73" s="119"/>
    </row>
    <row r="74" spans="1:23" s="50" customFormat="1" ht="15.75">
      <c r="A74" s="317" t="s">
        <v>323</v>
      </c>
      <c r="B74" s="234" t="s">
        <v>264</v>
      </c>
      <c r="C74" s="317" t="s">
        <v>242</v>
      </c>
      <c r="D74" s="325">
        <v>102670</v>
      </c>
      <c r="E74" s="326">
        <f>'BIỂU 03'!E14</f>
        <v>103837</v>
      </c>
      <c r="F74" s="679">
        <f>'BIỂU 03'!F14</f>
        <v>104408</v>
      </c>
      <c r="G74" s="326">
        <v>103254</v>
      </c>
      <c r="H74" s="326">
        <f>E74</f>
        <v>103837</v>
      </c>
      <c r="I74" s="318">
        <v>104979</v>
      </c>
      <c r="J74" s="316">
        <f t="shared" si="0"/>
        <v>101.11763224669261</v>
      </c>
      <c r="K74" s="316">
        <f t="shared" si="1"/>
        <v>100.54990032454714</v>
      </c>
      <c r="L74" s="316">
        <f t="shared" si="2"/>
        <v>99.45608169252898</v>
      </c>
      <c r="M74" s="318"/>
      <c r="N74" s="318">
        <v>104979</v>
      </c>
      <c r="O74" s="410"/>
      <c r="P74" s="410"/>
      <c r="Q74" s="410"/>
      <c r="R74" s="423">
        <f>M74/E74*100</f>
        <v>0</v>
      </c>
      <c r="S74" s="410"/>
      <c r="T74" s="410"/>
      <c r="U74" s="410"/>
      <c r="V74" s="119"/>
      <c r="W74" s="119"/>
    </row>
    <row r="75" spans="1:23" s="50" customFormat="1" ht="15.75">
      <c r="A75" s="314"/>
      <c r="B75" s="234" t="s">
        <v>414</v>
      </c>
      <c r="C75" s="317" t="s">
        <v>358</v>
      </c>
      <c r="D75" s="321">
        <v>16.2</v>
      </c>
      <c r="E75" s="329">
        <v>16.18</v>
      </c>
      <c r="F75" s="680">
        <v>5.73</v>
      </c>
      <c r="G75" s="321">
        <v>6.46</v>
      </c>
      <c r="H75" s="116"/>
      <c r="I75" s="321">
        <v>12.5</v>
      </c>
      <c r="J75" s="316">
        <f t="shared" si="0"/>
        <v>88.69969040247679</v>
      </c>
      <c r="K75" s="316"/>
      <c r="L75" s="316">
        <f t="shared" si="2"/>
        <v>45.84</v>
      </c>
      <c r="M75" s="321"/>
      <c r="N75" s="321">
        <v>12.5</v>
      </c>
      <c r="O75" s="410"/>
      <c r="P75" s="410"/>
      <c r="Q75" s="410"/>
      <c r="R75" s="410"/>
      <c r="S75" s="410"/>
      <c r="T75" s="410"/>
      <c r="U75" s="410"/>
      <c r="V75" s="119"/>
      <c r="W75" s="119"/>
    </row>
    <row r="76" spans="1:23" s="50" customFormat="1" ht="15.75">
      <c r="A76" s="314"/>
      <c r="B76" s="234" t="s">
        <v>415</v>
      </c>
      <c r="C76" s="317" t="s">
        <v>358</v>
      </c>
      <c r="D76" s="321">
        <v>11.29</v>
      </c>
      <c r="E76" s="329">
        <v>11.1</v>
      </c>
      <c r="F76" s="680">
        <v>2.83</v>
      </c>
      <c r="G76" s="321">
        <v>3.5</v>
      </c>
      <c r="H76" s="116"/>
      <c r="I76" s="321">
        <v>11</v>
      </c>
      <c r="J76" s="316">
        <f aca="true" t="shared" si="3" ref="J76:J99">F76/G76*100</f>
        <v>80.85714285714286</v>
      </c>
      <c r="K76" s="316"/>
      <c r="L76" s="316">
        <f aca="true" t="shared" si="4" ref="L76:L101">F76/I76*100</f>
        <v>25.727272727272727</v>
      </c>
      <c r="M76" s="321"/>
      <c r="N76" s="321">
        <v>11</v>
      </c>
      <c r="O76" s="410"/>
      <c r="P76" s="410"/>
      <c r="Q76" s="410"/>
      <c r="R76" s="410"/>
      <c r="S76" s="410"/>
      <c r="T76" s="410"/>
      <c r="U76" s="410"/>
      <c r="V76" s="119"/>
      <c r="W76" s="119"/>
    </row>
    <row r="77" spans="1:23" s="50" customFormat="1" ht="15.75">
      <c r="A77" s="314"/>
      <c r="B77" s="234" t="s">
        <v>416</v>
      </c>
      <c r="C77" s="317" t="s">
        <v>358</v>
      </c>
      <c r="D77" s="321">
        <v>0.03</v>
      </c>
      <c r="E77" s="330" t="s">
        <v>612</v>
      </c>
      <c r="F77" s="681">
        <v>0.2999999999999998</v>
      </c>
      <c r="G77" s="321">
        <v>0.18</v>
      </c>
      <c r="H77" s="116"/>
      <c r="I77" s="330">
        <v>0.03</v>
      </c>
      <c r="J77" s="316">
        <f t="shared" si="3"/>
        <v>166.66666666666657</v>
      </c>
      <c r="K77" s="316"/>
      <c r="L77" s="316">
        <f t="shared" si="4"/>
        <v>999.9999999999994</v>
      </c>
      <c r="M77" s="327"/>
      <c r="N77" s="330">
        <v>0.03</v>
      </c>
      <c r="O77" s="410"/>
      <c r="P77" s="410"/>
      <c r="Q77" s="410"/>
      <c r="R77" s="410"/>
      <c r="S77" s="410"/>
      <c r="T77" s="410"/>
      <c r="U77" s="410"/>
      <c r="V77" s="119"/>
      <c r="W77" s="119"/>
    </row>
    <row r="78" spans="1:23" s="50" customFormat="1" ht="15.75">
      <c r="A78" s="314"/>
      <c r="B78" s="234" t="s">
        <v>417</v>
      </c>
      <c r="C78" s="317" t="s">
        <v>23</v>
      </c>
      <c r="D78" s="321">
        <v>1.25</v>
      </c>
      <c r="E78" s="329">
        <v>1.01</v>
      </c>
      <c r="F78" s="680">
        <v>1.4</v>
      </c>
      <c r="G78" s="321">
        <v>1.02</v>
      </c>
      <c r="H78" s="116"/>
      <c r="I78" s="329">
        <v>0.94</v>
      </c>
      <c r="J78" s="316">
        <f t="shared" si="3"/>
        <v>137.25490196078428</v>
      </c>
      <c r="K78" s="316"/>
      <c r="L78" s="316">
        <f t="shared" si="4"/>
        <v>148.93617021276594</v>
      </c>
      <c r="M78" s="329"/>
      <c r="N78" s="329">
        <v>0.94</v>
      </c>
      <c r="O78" s="410"/>
      <c r="P78" s="410"/>
      <c r="Q78" s="410"/>
      <c r="R78" s="410"/>
      <c r="S78" s="410"/>
      <c r="T78" s="410"/>
      <c r="U78" s="410"/>
      <c r="V78" s="119"/>
      <c r="W78" s="119"/>
    </row>
    <row r="79" spans="1:23" s="50" customFormat="1" ht="32.25" customHeight="1">
      <c r="A79" s="314"/>
      <c r="B79" s="234" t="s">
        <v>418</v>
      </c>
      <c r="C79" s="317" t="s">
        <v>419</v>
      </c>
      <c r="D79" s="318">
        <v>108</v>
      </c>
      <c r="E79" s="325">
        <v>108</v>
      </c>
      <c r="F79" s="682">
        <v>110</v>
      </c>
      <c r="G79" s="318">
        <v>107</v>
      </c>
      <c r="H79" s="116"/>
      <c r="I79" s="318">
        <v>108</v>
      </c>
      <c r="J79" s="316">
        <f t="shared" si="3"/>
        <v>102.803738317757</v>
      </c>
      <c r="K79" s="316"/>
      <c r="L79" s="316">
        <f t="shared" si="4"/>
        <v>101.85185185185186</v>
      </c>
      <c r="M79" s="318"/>
      <c r="N79" s="318">
        <v>108</v>
      </c>
      <c r="O79" s="410"/>
      <c r="P79" s="410"/>
      <c r="Q79" s="410"/>
      <c r="R79" s="410"/>
      <c r="S79" s="410"/>
      <c r="T79" s="410"/>
      <c r="U79" s="410"/>
      <c r="V79" s="119"/>
      <c r="W79" s="119"/>
    </row>
    <row r="80" spans="1:23" s="50" customFormat="1" ht="15.75">
      <c r="A80" s="314"/>
      <c r="B80" s="234" t="s">
        <v>420</v>
      </c>
      <c r="C80" s="317" t="s">
        <v>421</v>
      </c>
      <c r="D80" s="318"/>
      <c r="E80" s="318"/>
      <c r="F80" s="672"/>
      <c r="G80" s="318"/>
      <c r="H80" s="116"/>
      <c r="I80" s="318"/>
      <c r="J80" s="316"/>
      <c r="K80" s="316"/>
      <c r="L80" s="316"/>
      <c r="M80" s="318"/>
      <c r="N80" s="318"/>
      <c r="O80" s="410">
        <v>51600</v>
      </c>
      <c r="P80" s="410"/>
      <c r="Q80" s="410"/>
      <c r="R80" s="410"/>
      <c r="S80" s="410"/>
      <c r="T80" s="410"/>
      <c r="U80" s="410"/>
      <c r="V80" s="119"/>
      <c r="W80" s="119"/>
    </row>
    <row r="81" spans="1:23" s="50" customFormat="1" ht="15.75">
      <c r="A81" s="317" t="s">
        <v>326</v>
      </c>
      <c r="B81" s="234" t="s">
        <v>422</v>
      </c>
      <c r="C81" s="317" t="s">
        <v>242</v>
      </c>
      <c r="D81" s="318">
        <f aca="true" t="shared" si="5" ref="D81:I81">D74</f>
        <v>102670</v>
      </c>
      <c r="E81" s="318">
        <f t="shared" si="5"/>
        <v>103837</v>
      </c>
      <c r="F81" s="672">
        <f t="shared" si="5"/>
        <v>104408</v>
      </c>
      <c r="G81" s="318">
        <f t="shared" si="5"/>
        <v>103254</v>
      </c>
      <c r="H81" s="392">
        <f t="shared" si="5"/>
        <v>103837</v>
      </c>
      <c r="I81" s="318">
        <f t="shared" si="5"/>
        <v>104979</v>
      </c>
      <c r="J81" s="316">
        <f t="shared" si="3"/>
        <v>101.11763224669261</v>
      </c>
      <c r="K81" s="316">
        <f aca="true" t="shared" si="6" ref="K81:K88">F81/H81*100</f>
        <v>100.54990032454714</v>
      </c>
      <c r="L81" s="316">
        <f t="shared" si="4"/>
        <v>99.45608169252898</v>
      </c>
      <c r="M81" s="318"/>
      <c r="N81" s="318">
        <f>N74</f>
        <v>104979</v>
      </c>
      <c r="O81" s="410">
        <v>50.3</v>
      </c>
      <c r="P81" s="410"/>
      <c r="Q81" s="410"/>
      <c r="R81" s="424">
        <f>R74</f>
        <v>0</v>
      </c>
      <c r="S81" s="410"/>
      <c r="T81" s="410"/>
      <c r="U81" s="410"/>
      <c r="V81" s="119"/>
      <c r="W81" s="119"/>
    </row>
    <row r="82" spans="1:23" s="50" customFormat="1" ht="15.75">
      <c r="A82" s="317"/>
      <c r="B82" s="234" t="s">
        <v>423</v>
      </c>
      <c r="C82" s="317" t="s">
        <v>242</v>
      </c>
      <c r="D82" s="331">
        <v>51600</v>
      </c>
      <c r="E82" s="331">
        <f>E81*49.8%</f>
        <v>51710.826</v>
      </c>
      <c r="F82" s="683">
        <f>'BIỂU 03'!F15</f>
        <v>52258</v>
      </c>
      <c r="G82" s="331">
        <v>51915</v>
      </c>
      <c r="H82" s="392">
        <v>52804</v>
      </c>
      <c r="I82" s="318">
        <v>52804</v>
      </c>
      <c r="J82" s="316">
        <f t="shared" si="3"/>
        <v>100.66069536742752</v>
      </c>
      <c r="K82" s="316">
        <f t="shared" si="6"/>
        <v>98.96598742519505</v>
      </c>
      <c r="L82" s="316">
        <f t="shared" si="4"/>
        <v>98.96598742519505</v>
      </c>
      <c r="M82" s="318"/>
      <c r="N82" s="318">
        <v>52804</v>
      </c>
      <c r="O82" s="410">
        <v>51070</v>
      </c>
      <c r="P82" s="410"/>
      <c r="Q82" s="410"/>
      <c r="R82" s="424">
        <v>52354</v>
      </c>
      <c r="S82" s="410"/>
      <c r="T82" s="410"/>
      <c r="U82" s="410"/>
      <c r="V82" s="119"/>
      <c r="W82" s="119"/>
    </row>
    <row r="83" spans="1:23" s="50" customFormat="1" ht="15.75">
      <c r="A83" s="317"/>
      <c r="B83" s="234" t="s">
        <v>424</v>
      </c>
      <c r="C83" s="317" t="s">
        <v>23</v>
      </c>
      <c r="D83" s="332">
        <v>49.70219285645887</v>
      </c>
      <c r="E83" s="332">
        <v>49.8</v>
      </c>
      <c r="F83" s="684">
        <f>F82/F81*100</f>
        <v>50.051720174699255</v>
      </c>
      <c r="G83" s="332">
        <f>G82/G81*100</f>
        <v>50.27892381893195</v>
      </c>
      <c r="H83" s="393">
        <v>50.3</v>
      </c>
      <c r="I83" s="316">
        <f>I82/I81*100</f>
        <v>50.29958372626906</v>
      </c>
      <c r="J83" s="316">
        <f t="shared" si="3"/>
        <v>99.54811354942497</v>
      </c>
      <c r="K83" s="316">
        <f t="shared" si="6"/>
        <v>99.50640193777188</v>
      </c>
      <c r="L83" s="316">
        <f t="shared" si="4"/>
        <v>99.50722544162853</v>
      </c>
      <c r="M83" s="316"/>
      <c r="N83" s="316">
        <f>N82/N81*100</f>
        <v>50.29958372626906</v>
      </c>
      <c r="O83" s="410">
        <v>49.7</v>
      </c>
      <c r="P83" s="410"/>
      <c r="Q83" s="410"/>
      <c r="R83" s="414">
        <v>50.4</v>
      </c>
      <c r="S83" s="410"/>
      <c r="T83" s="410"/>
      <c r="U83" s="410"/>
      <c r="V83" s="119"/>
      <c r="W83" s="119"/>
    </row>
    <row r="84" spans="1:23" s="50" customFormat="1" ht="15.75">
      <c r="A84" s="317"/>
      <c r="B84" s="234" t="s">
        <v>425</v>
      </c>
      <c r="C84" s="317" t="s">
        <v>242</v>
      </c>
      <c r="D84" s="331">
        <f aca="true" t="shared" si="7" ref="D84:I84">D81-D82</f>
        <v>51070</v>
      </c>
      <c r="E84" s="331">
        <f t="shared" si="7"/>
        <v>52126.174</v>
      </c>
      <c r="F84" s="683">
        <f t="shared" si="7"/>
        <v>52150</v>
      </c>
      <c r="G84" s="331">
        <f t="shared" si="7"/>
        <v>51339</v>
      </c>
      <c r="H84" s="392">
        <f t="shared" si="7"/>
        <v>51033</v>
      </c>
      <c r="I84" s="318">
        <f t="shared" si="7"/>
        <v>52175</v>
      </c>
      <c r="J84" s="316">
        <f t="shared" si="3"/>
        <v>101.57969574787198</v>
      </c>
      <c r="K84" s="316">
        <f t="shared" si="6"/>
        <v>102.1887798091431</v>
      </c>
      <c r="L84" s="316">
        <f t="shared" si="4"/>
        <v>99.95208433157643</v>
      </c>
      <c r="M84" s="318"/>
      <c r="N84" s="318">
        <f>N81-N82</f>
        <v>52175</v>
      </c>
      <c r="O84" s="410">
        <v>102670</v>
      </c>
      <c r="P84" s="410"/>
      <c r="Q84" s="410"/>
      <c r="R84" s="424"/>
      <c r="S84" s="410"/>
      <c r="T84" s="410"/>
      <c r="U84" s="410"/>
      <c r="V84" s="119"/>
      <c r="W84" s="119"/>
    </row>
    <row r="85" spans="1:23" s="50" customFormat="1" ht="15.75">
      <c r="A85" s="317"/>
      <c r="B85" s="234" t="s">
        <v>426</v>
      </c>
      <c r="C85" s="317" t="s">
        <v>23</v>
      </c>
      <c r="D85" s="332">
        <v>50.29780714354113</v>
      </c>
      <c r="E85" s="332">
        <v>50.2</v>
      </c>
      <c r="F85" s="684">
        <f>100-F83</f>
        <v>49.948279825300745</v>
      </c>
      <c r="G85" s="332">
        <v>50.2</v>
      </c>
      <c r="H85" s="394">
        <v>49.7</v>
      </c>
      <c r="I85" s="316">
        <v>49.7</v>
      </c>
      <c r="J85" s="316">
        <f t="shared" si="3"/>
        <v>99.4985653890453</v>
      </c>
      <c r="K85" s="316">
        <f t="shared" si="6"/>
        <v>100.49955699255682</v>
      </c>
      <c r="L85" s="316">
        <f t="shared" si="4"/>
        <v>100.49955699255682</v>
      </c>
      <c r="M85" s="316"/>
      <c r="N85" s="316">
        <v>49.7</v>
      </c>
      <c r="O85" s="410">
        <f>O84</f>
        <v>102670</v>
      </c>
      <c r="P85" s="410"/>
      <c r="Q85" s="410"/>
      <c r="R85" s="424">
        <v>51483</v>
      </c>
      <c r="S85" s="410"/>
      <c r="T85" s="410"/>
      <c r="U85" s="410"/>
      <c r="V85" s="119"/>
      <c r="W85" s="119"/>
    </row>
    <row r="86" spans="1:23" s="50" customFormat="1" ht="15.75">
      <c r="A86" s="317" t="s">
        <v>427</v>
      </c>
      <c r="B86" s="234" t="s">
        <v>428</v>
      </c>
      <c r="C86" s="317" t="s">
        <v>242</v>
      </c>
      <c r="D86" s="318">
        <f aca="true" t="shared" si="8" ref="D86:I86">D81</f>
        <v>102670</v>
      </c>
      <c r="E86" s="318">
        <f t="shared" si="8"/>
        <v>103837</v>
      </c>
      <c r="F86" s="672">
        <f t="shared" si="8"/>
        <v>104408</v>
      </c>
      <c r="G86" s="318">
        <f t="shared" si="8"/>
        <v>103254</v>
      </c>
      <c r="H86" s="392">
        <f t="shared" si="8"/>
        <v>103837</v>
      </c>
      <c r="I86" s="318">
        <f t="shared" si="8"/>
        <v>104979</v>
      </c>
      <c r="J86" s="316">
        <f t="shared" si="3"/>
        <v>101.11763224669261</v>
      </c>
      <c r="K86" s="316">
        <f t="shared" si="6"/>
        <v>100.54990032454714</v>
      </c>
      <c r="L86" s="316">
        <f t="shared" si="4"/>
        <v>99.45608169252898</v>
      </c>
      <c r="M86" s="318"/>
      <c r="N86" s="318">
        <f>N81</f>
        <v>104979</v>
      </c>
      <c r="O86" s="410">
        <v>100</v>
      </c>
      <c r="P86" s="410"/>
      <c r="Q86" s="410"/>
      <c r="R86" s="414">
        <v>49.6</v>
      </c>
      <c r="S86" s="410"/>
      <c r="T86" s="410"/>
      <c r="U86" s="410"/>
      <c r="V86" s="119"/>
      <c r="W86" s="119"/>
    </row>
    <row r="87" spans="1:23" s="50" customFormat="1" ht="15.75">
      <c r="A87" s="317"/>
      <c r="B87" s="234" t="s">
        <v>429</v>
      </c>
      <c r="C87" s="317" t="s">
        <v>242</v>
      </c>
      <c r="D87" s="318">
        <f>D81</f>
        <v>102670</v>
      </c>
      <c r="E87" s="318">
        <f>E86</f>
        <v>103837</v>
      </c>
      <c r="F87" s="672">
        <f>F86</f>
        <v>104408</v>
      </c>
      <c r="G87" s="318">
        <f>G86</f>
        <v>103254</v>
      </c>
      <c r="H87" s="395">
        <f>H81</f>
        <v>103837</v>
      </c>
      <c r="I87" s="318">
        <f>I86</f>
        <v>104979</v>
      </c>
      <c r="J87" s="316">
        <f t="shared" si="3"/>
        <v>101.11763224669261</v>
      </c>
      <c r="K87" s="316">
        <f t="shared" si="6"/>
        <v>100.54990032454714</v>
      </c>
      <c r="L87" s="316">
        <f t="shared" si="4"/>
        <v>99.45608169252898</v>
      </c>
      <c r="M87" s="318"/>
      <c r="N87" s="318">
        <f>N86</f>
        <v>104979</v>
      </c>
      <c r="O87" s="410"/>
      <c r="P87" s="410"/>
      <c r="Q87" s="410"/>
      <c r="R87" s="425">
        <f>R81</f>
        <v>0</v>
      </c>
      <c r="S87" s="410"/>
      <c r="T87" s="410"/>
      <c r="U87" s="410"/>
      <c r="V87" s="119"/>
      <c r="W87" s="119"/>
    </row>
    <row r="88" spans="1:23" s="50" customFormat="1" ht="15.75">
      <c r="A88" s="317"/>
      <c r="B88" s="234" t="s">
        <v>424</v>
      </c>
      <c r="C88" s="317" t="s">
        <v>23</v>
      </c>
      <c r="D88" s="318">
        <v>100</v>
      </c>
      <c r="E88" s="318">
        <v>100</v>
      </c>
      <c r="F88" s="672">
        <v>100</v>
      </c>
      <c r="G88" s="318">
        <v>100</v>
      </c>
      <c r="H88" s="116">
        <v>100</v>
      </c>
      <c r="I88" s="318">
        <v>100</v>
      </c>
      <c r="J88" s="316">
        <f t="shared" si="3"/>
        <v>100</v>
      </c>
      <c r="K88" s="316">
        <f t="shared" si="6"/>
        <v>100</v>
      </c>
      <c r="L88" s="316">
        <f t="shared" si="4"/>
        <v>100</v>
      </c>
      <c r="M88" s="318"/>
      <c r="N88" s="318">
        <v>100</v>
      </c>
      <c r="O88" s="410"/>
      <c r="P88" s="410"/>
      <c r="Q88" s="410"/>
      <c r="R88" s="410">
        <v>100</v>
      </c>
      <c r="S88" s="410"/>
      <c r="T88" s="410"/>
      <c r="U88" s="410"/>
      <c r="V88" s="119"/>
      <c r="W88" s="119"/>
    </row>
    <row r="89" spans="1:23" s="50" customFormat="1" ht="15.75">
      <c r="A89" s="314">
        <v>2</v>
      </c>
      <c r="B89" s="84" t="s">
        <v>430</v>
      </c>
      <c r="C89" s="314"/>
      <c r="D89" s="316"/>
      <c r="E89" s="316"/>
      <c r="F89" s="671"/>
      <c r="G89" s="316"/>
      <c r="H89" s="116"/>
      <c r="I89" s="318"/>
      <c r="J89" s="316"/>
      <c r="K89" s="316"/>
      <c r="L89" s="316"/>
      <c r="M89" s="318"/>
      <c r="N89" s="318"/>
      <c r="O89" s="410"/>
      <c r="P89" s="410"/>
      <c r="Q89" s="410"/>
      <c r="R89" s="410"/>
      <c r="S89" s="410"/>
      <c r="T89" s="410"/>
      <c r="U89" s="410"/>
      <c r="V89" s="119"/>
      <c r="W89" s="119"/>
    </row>
    <row r="90" spans="1:23" s="50" customFormat="1" ht="15.75">
      <c r="A90" s="314"/>
      <c r="B90" s="234" t="s">
        <v>431</v>
      </c>
      <c r="C90" s="317" t="s">
        <v>23</v>
      </c>
      <c r="D90" s="321">
        <v>27.5</v>
      </c>
      <c r="E90" s="321">
        <v>27.1</v>
      </c>
      <c r="F90" s="673">
        <v>27</v>
      </c>
      <c r="G90" s="321">
        <v>27.18</v>
      </c>
      <c r="H90" s="116"/>
      <c r="I90" s="321">
        <v>27.2</v>
      </c>
      <c r="J90" s="316">
        <f t="shared" si="3"/>
        <v>99.33774834437085</v>
      </c>
      <c r="K90" s="316"/>
      <c r="L90" s="316">
        <f t="shared" si="4"/>
        <v>99.26470588235294</v>
      </c>
      <c r="M90" s="321"/>
      <c r="N90" s="321">
        <v>27.2</v>
      </c>
      <c r="O90" s="410"/>
      <c r="P90" s="410"/>
      <c r="Q90" s="410"/>
      <c r="R90" s="410"/>
      <c r="S90" s="410"/>
      <c r="T90" s="410"/>
      <c r="U90" s="410"/>
      <c r="V90" s="119"/>
      <c r="W90" s="119"/>
    </row>
    <row r="91" spans="1:23" s="50" customFormat="1" ht="15.75">
      <c r="A91" s="314"/>
      <c r="B91" s="234" t="s">
        <v>432</v>
      </c>
      <c r="C91" s="317" t="s">
        <v>23</v>
      </c>
      <c r="D91" s="321">
        <v>18.4</v>
      </c>
      <c r="E91" s="321">
        <v>17.9</v>
      </c>
      <c r="F91" s="673">
        <v>17.3</v>
      </c>
      <c r="G91" s="321">
        <v>18.12</v>
      </c>
      <c r="H91" s="116"/>
      <c r="I91" s="321">
        <v>18</v>
      </c>
      <c r="J91" s="316">
        <f t="shared" si="3"/>
        <v>95.47461368653421</v>
      </c>
      <c r="K91" s="316"/>
      <c r="L91" s="316">
        <f t="shared" si="4"/>
        <v>96.11111111111111</v>
      </c>
      <c r="M91" s="321"/>
      <c r="N91" s="321">
        <v>18</v>
      </c>
      <c r="O91" s="410"/>
      <c r="P91" s="410"/>
      <c r="Q91" s="410"/>
      <c r="R91" s="410"/>
      <c r="S91" s="410"/>
      <c r="T91" s="410"/>
      <c r="U91" s="410"/>
      <c r="V91" s="119"/>
      <c r="W91" s="119"/>
    </row>
    <row r="92" spans="1:23" s="50" customFormat="1" ht="30">
      <c r="A92" s="314"/>
      <c r="B92" s="234" t="s">
        <v>433</v>
      </c>
      <c r="C92" s="317" t="s">
        <v>23</v>
      </c>
      <c r="D92" s="321">
        <v>72.4</v>
      </c>
      <c r="E92" s="321">
        <v>73</v>
      </c>
      <c r="F92" s="673">
        <v>45.7</v>
      </c>
      <c r="G92" s="321">
        <v>72.58</v>
      </c>
      <c r="H92" s="116"/>
      <c r="I92" s="321">
        <v>73.4</v>
      </c>
      <c r="J92" s="316">
        <f t="shared" si="3"/>
        <v>62.96500413337009</v>
      </c>
      <c r="K92" s="316"/>
      <c r="L92" s="316">
        <f t="shared" si="4"/>
        <v>62.26158038147139</v>
      </c>
      <c r="M92" s="321"/>
      <c r="N92" s="321">
        <v>73.4</v>
      </c>
      <c r="O92" s="410"/>
      <c r="P92" s="410"/>
      <c r="Q92" s="410"/>
      <c r="R92" s="410"/>
      <c r="S92" s="410"/>
      <c r="T92" s="410"/>
      <c r="U92" s="410"/>
      <c r="V92" s="119"/>
      <c r="W92" s="119"/>
    </row>
    <row r="93" spans="1:23" s="50" customFormat="1" ht="30">
      <c r="A93" s="314"/>
      <c r="B93" s="234" t="s">
        <v>434</v>
      </c>
      <c r="C93" s="317" t="s">
        <v>23</v>
      </c>
      <c r="D93" s="321">
        <v>9.9</v>
      </c>
      <c r="E93" s="333">
        <v>10.66</v>
      </c>
      <c r="F93" s="685">
        <v>10.1</v>
      </c>
      <c r="G93" s="333">
        <v>10.88</v>
      </c>
      <c r="H93" s="116"/>
      <c r="I93" s="321">
        <v>10</v>
      </c>
      <c r="J93" s="316">
        <f t="shared" si="3"/>
        <v>92.83088235294117</v>
      </c>
      <c r="K93" s="316"/>
      <c r="L93" s="316">
        <f t="shared" si="4"/>
        <v>101</v>
      </c>
      <c r="M93" s="321"/>
      <c r="N93" s="321">
        <v>10</v>
      </c>
      <c r="O93" s="410"/>
      <c r="P93" s="410"/>
      <c r="Q93" s="410"/>
      <c r="R93" s="410"/>
      <c r="S93" s="410"/>
      <c r="T93" s="410"/>
      <c r="U93" s="410"/>
      <c r="V93" s="119"/>
      <c r="W93" s="119"/>
    </row>
    <row r="94" spans="1:23" s="50" customFormat="1" ht="15.75">
      <c r="A94" s="314">
        <v>3</v>
      </c>
      <c r="B94" s="84" t="s">
        <v>435</v>
      </c>
      <c r="C94" s="314" t="s">
        <v>436</v>
      </c>
      <c r="D94" s="318"/>
      <c r="E94" s="318"/>
      <c r="F94" s="672"/>
      <c r="G94" s="318"/>
      <c r="H94" s="116"/>
      <c r="I94" s="318"/>
      <c r="J94" s="316"/>
      <c r="K94" s="316"/>
      <c r="L94" s="316"/>
      <c r="M94" s="318"/>
      <c r="N94" s="318"/>
      <c r="O94" s="410"/>
      <c r="P94" s="410"/>
      <c r="Q94" s="410"/>
      <c r="R94" s="410"/>
      <c r="S94" s="410"/>
      <c r="T94" s="410"/>
      <c r="U94" s="410"/>
      <c r="V94" s="119"/>
      <c r="W94" s="119"/>
    </row>
    <row r="95" spans="1:23" s="50" customFormat="1" ht="15.75">
      <c r="A95" s="317"/>
      <c r="B95" s="334" t="s">
        <v>437</v>
      </c>
      <c r="C95" s="335" t="s">
        <v>242</v>
      </c>
      <c r="D95" s="228">
        <v>26</v>
      </c>
      <c r="E95" s="228">
        <v>27</v>
      </c>
      <c r="F95" s="686">
        <v>27</v>
      </c>
      <c r="G95" s="228">
        <v>26</v>
      </c>
      <c r="H95" s="116"/>
      <c r="I95" s="318">
        <v>27</v>
      </c>
      <c r="J95" s="316">
        <f t="shared" si="3"/>
        <v>103.84615384615385</v>
      </c>
      <c r="K95" s="316"/>
      <c r="L95" s="316">
        <f t="shared" si="4"/>
        <v>100</v>
      </c>
      <c r="M95" s="318"/>
      <c r="N95" s="318">
        <v>27</v>
      </c>
      <c r="O95" s="410"/>
      <c r="P95" s="410"/>
      <c r="Q95" s="410"/>
      <c r="R95" s="410"/>
      <c r="S95" s="410"/>
      <c r="T95" s="410"/>
      <c r="U95" s="410"/>
      <c r="V95" s="119"/>
      <c r="W95" s="119"/>
    </row>
    <row r="96" spans="1:23" s="50" customFormat="1" ht="15.75">
      <c r="A96" s="317"/>
      <c r="B96" s="334" t="s">
        <v>438</v>
      </c>
      <c r="C96" s="335" t="s">
        <v>242</v>
      </c>
      <c r="D96" s="228">
        <v>5</v>
      </c>
      <c r="E96" s="228">
        <v>6</v>
      </c>
      <c r="F96" s="686">
        <v>6</v>
      </c>
      <c r="G96" s="228">
        <v>5</v>
      </c>
      <c r="H96" s="116"/>
      <c r="I96" s="318">
        <v>6</v>
      </c>
      <c r="J96" s="316">
        <f t="shared" si="3"/>
        <v>120</v>
      </c>
      <c r="K96" s="316"/>
      <c r="L96" s="316">
        <f t="shared" si="4"/>
        <v>100</v>
      </c>
      <c r="M96" s="318"/>
      <c r="N96" s="318">
        <v>6</v>
      </c>
      <c r="O96" s="410"/>
      <c r="P96" s="410"/>
      <c r="Q96" s="410"/>
      <c r="R96" s="410"/>
      <c r="S96" s="410"/>
      <c r="T96" s="410"/>
      <c r="U96" s="410"/>
      <c r="V96" s="119"/>
      <c r="W96" s="119"/>
    </row>
    <row r="97" spans="1:14" ht="15.75">
      <c r="A97" s="317"/>
      <c r="B97" s="334" t="s">
        <v>439</v>
      </c>
      <c r="C97" s="335" t="s">
        <v>242</v>
      </c>
      <c r="D97" s="228">
        <v>21</v>
      </c>
      <c r="E97" s="228">
        <v>21</v>
      </c>
      <c r="F97" s="686">
        <v>21</v>
      </c>
      <c r="G97" s="228">
        <v>21</v>
      </c>
      <c r="H97" s="116"/>
      <c r="I97" s="318">
        <v>21</v>
      </c>
      <c r="J97" s="316">
        <f t="shared" si="3"/>
        <v>100</v>
      </c>
      <c r="K97" s="316"/>
      <c r="L97" s="316">
        <f t="shared" si="4"/>
        <v>100</v>
      </c>
      <c r="M97" s="318"/>
      <c r="N97" s="318">
        <v>21</v>
      </c>
    </row>
    <row r="98" spans="1:23" s="468" customFormat="1" ht="15.75">
      <c r="A98" s="689" t="s">
        <v>249</v>
      </c>
      <c r="B98" s="638" t="s">
        <v>440</v>
      </c>
      <c r="C98" s="689" t="s">
        <v>242</v>
      </c>
      <c r="D98" s="626">
        <v>89334</v>
      </c>
      <c r="E98" s="626">
        <v>90331</v>
      </c>
      <c r="F98" s="627">
        <v>91150</v>
      </c>
      <c r="G98" s="693">
        <v>95908</v>
      </c>
      <c r="H98" s="626">
        <v>101731</v>
      </c>
      <c r="I98" s="626">
        <v>101731</v>
      </c>
      <c r="J98" s="692">
        <f t="shared" si="3"/>
        <v>95.03899570421655</v>
      </c>
      <c r="K98" s="692">
        <f>F98/H98*100</f>
        <v>89.59904060709125</v>
      </c>
      <c r="L98" s="692">
        <f t="shared" si="4"/>
        <v>89.59904060709125</v>
      </c>
      <c r="M98" s="626"/>
      <c r="N98" s="626">
        <v>101731</v>
      </c>
      <c r="O98" s="465"/>
      <c r="P98" s="465"/>
      <c r="Q98" s="465"/>
      <c r="R98" s="465">
        <v>101201</v>
      </c>
      <c r="S98" s="465" t="s">
        <v>660</v>
      </c>
      <c r="T98" s="465"/>
      <c r="U98" s="465"/>
      <c r="V98" s="606"/>
      <c r="W98" s="606"/>
    </row>
    <row r="99" spans="1:18" ht="15.75">
      <c r="A99" s="19"/>
      <c r="B99" s="33" t="s">
        <v>607</v>
      </c>
      <c r="C99" s="317" t="s">
        <v>23</v>
      </c>
      <c r="D99" s="336">
        <f>D98/D81*100</f>
        <v>87.01081133729424</v>
      </c>
      <c r="E99" s="336">
        <v>87</v>
      </c>
      <c r="F99" s="687">
        <f>F98/F81*100</f>
        <v>87.30173933031952</v>
      </c>
      <c r="G99" s="433">
        <f>G98/G81*100</f>
        <v>92.88550564627036</v>
      </c>
      <c r="H99" s="14">
        <v>97.07</v>
      </c>
      <c r="I99" s="337">
        <v>97.07</v>
      </c>
      <c r="J99" s="316">
        <f t="shared" si="3"/>
        <v>93.98854936827806</v>
      </c>
      <c r="K99" s="316">
        <f>F99/H99*100</f>
        <v>89.93689021357734</v>
      </c>
      <c r="L99" s="316">
        <f t="shared" si="4"/>
        <v>89.93689021357734</v>
      </c>
      <c r="M99" s="337"/>
      <c r="N99" s="337">
        <v>97.07</v>
      </c>
      <c r="R99" s="410">
        <v>97.07</v>
      </c>
    </row>
    <row r="100" spans="1:23" s="468" customFormat="1" ht="33" customHeight="1">
      <c r="A100" s="689" t="s">
        <v>661</v>
      </c>
      <c r="B100" s="638" t="s">
        <v>662</v>
      </c>
      <c r="C100" s="689" t="s">
        <v>242</v>
      </c>
      <c r="D100" s="626"/>
      <c r="E100" s="626">
        <f>E81</f>
        <v>103837</v>
      </c>
      <c r="F100" s="627">
        <f>F81</f>
        <v>104408</v>
      </c>
      <c r="G100" s="693"/>
      <c r="H100" s="694">
        <v>104802</v>
      </c>
      <c r="I100" s="690">
        <f>I81</f>
        <v>104979</v>
      </c>
      <c r="J100" s="692"/>
      <c r="K100" s="692">
        <f>F100/H100*100</f>
        <v>99.62405297608824</v>
      </c>
      <c r="L100" s="692">
        <f t="shared" si="4"/>
        <v>99.45608169252898</v>
      </c>
      <c r="M100" s="690"/>
      <c r="N100" s="690">
        <f>N81</f>
        <v>104979</v>
      </c>
      <c r="O100" s="465"/>
      <c r="P100" s="465"/>
      <c r="Q100" s="465"/>
      <c r="R100" s="695">
        <v>59919</v>
      </c>
      <c r="S100" s="465" t="s">
        <v>657</v>
      </c>
      <c r="T100" s="465"/>
      <c r="U100" s="465"/>
      <c r="V100" s="606"/>
      <c r="W100" s="606"/>
    </row>
    <row r="101" spans="1:23" s="57" customFormat="1" ht="37.5" customHeight="1">
      <c r="A101" s="34"/>
      <c r="B101" s="338" t="s">
        <v>663</v>
      </c>
      <c r="C101" s="339" t="s">
        <v>23</v>
      </c>
      <c r="D101" s="340"/>
      <c r="E101" s="403">
        <v>100</v>
      </c>
      <c r="F101" s="688">
        <v>100</v>
      </c>
      <c r="G101" s="340"/>
      <c r="H101" s="31">
        <v>100</v>
      </c>
      <c r="I101" s="341">
        <v>100</v>
      </c>
      <c r="J101" s="316"/>
      <c r="K101" s="316">
        <f>F101/H101*100</f>
        <v>100</v>
      </c>
      <c r="L101" s="316">
        <f t="shared" si="4"/>
        <v>100</v>
      </c>
      <c r="M101" s="341"/>
      <c r="N101" s="341">
        <v>100</v>
      </c>
      <c r="O101" s="415"/>
      <c r="P101" s="415"/>
      <c r="Q101" s="415"/>
      <c r="R101" s="415">
        <v>50</v>
      </c>
      <c r="S101" s="415"/>
      <c r="T101" s="415"/>
      <c r="U101" s="415"/>
      <c r="V101" s="121"/>
      <c r="W101" s="121"/>
    </row>
    <row r="102" spans="1:13" ht="15.75">
      <c r="A102" s="342"/>
      <c r="B102" s="224"/>
      <c r="C102" s="342"/>
      <c r="D102" s="224"/>
      <c r="E102" s="224"/>
      <c r="F102" s="224"/>
      <c r="G102" s="403"/>
      <c r="H102" s="224"/>
      <c r="I102" s="224"/>
      <c r="J102" s="224"/>
      <c r="K102" s="224"/>
      <c r="L102" s="224"/>
      <c r="M102" s="224"/>
    </row>
    <row r="103" spans="1:13" ht="15.75">
      <c r="A103" s="342"/>
      <c r="B103" s="224"/>
      <c r="C103" s="342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</row>
    <row r="104" spans="1:13" ht="15.75">
      <c r="A104" s="342"/>
      <c r="B104" s="224"/>
      <c r="C104" s="342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</row>
    <row r="105" spans="1:13" ht="15.75">
      <c r="A105" s="342"/>
      <c r="B105" s="224"/>
      <c r="C105" s="342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</row>
    <row r="106" spans="1:13" ht="15.75">
      <c r="A106" s="342"/>
      <c r="B106" s="224"/>
      <c r="C106" s="342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</row>
    <row r="107" spans="1:13" ht="15.75">
      <c r="A107" s="342"/>
      <c r="B107" s="224"/>
      <c r="C107" s="342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</row>
    <row r="108" spans="1:13" ht="15.75">
      <c r="A108" s="342"/>
      <c r="B108" s="224"/>
      <c r="C108" s="342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</row>
    <row r="109" spans="1:13" ht="15.75">
      <c r="A109" s="342"/>
      <c r="B109" s="224"/>
      <c r="C109" s="342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</row>
    <row r="110" spans="1:13" ht="15.75">
      <c r="A110" s="342"/>
      <c r="B110" s="224"/>
      <c r="C110" s="342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</row>
    <row r="111" spans="1:13" ht="15.75">
      <c r="A111" s="342"/>
      <c r="B111" s="224"/>
      <c r="C111" s="342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</row>
    <row r="112" spans="1:13" ht="15.75">
      <c r="A112" s="342"/>
      <c r="B112" s="224"/>
      <c r="C112" s="342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</row>
    <row r="113" spans="1:13" ht="15.75">
      <c r="A113" s="342"/>
      <c r="B113" s="224"/>
      <c r="C113" s="342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</row>
    <row r="114" spans="1:13" ht="15.75">
      <c r="A114" s="342"/>
      <c r="B114" s="224"/>
      <c r="C114" s="342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</row>
    <row r="115" spans="1:13" ht="15.75">
      <c r="A115" s="342"/>
      <c r="B115" s="224"/>
      <c r="C115" s="342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</row>
    <row r="116" spans="1:13" ht="15.75">
      <c r="A116" s="342"/>
      <c r="B116" s="224"/>
      <c r="C116" s="342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</row>
    <row r="117" spans="1:13" ht="15.75">
      <c r="A117" s="342"/>
      <c r="B117" s="224"/>
      <c r="C117" s="342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</row>
    <row r="118" spans="1:13" ht="15.75">
      <c r="A118" s="342"/>
      <c r="B118" s="224"/>
      <c r="C118" s="342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</row>
    <row r="119" spans="1:13" ht="15.75">
      <c r="A119" s="342"/>
      <c r="B119" s="224"/>
      <c r="C119" s="342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</row>
    <row r="120" spans="1:13" ht="15.75">
      <c r="A120" s="342"/>
      <c r="B120" s="224"/>
      <c r="C120" s="342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</row>
    <row r="121" spans="1:13" ht="15.75">
      <c r="A121" s="342"/>
      <c r="B121" s="224"/>
      <c r="C121" s="342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</row>
    <row r="122" spans="1:13" ht="15.75">
      <c r="A122" s="342"/>
      <c r="B122" s="224"/>
      <c r="C122" s="342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</row>
    <row r="123" spans="1:13" ht="15.75">
      <c r="A123" s="342"/>
      <c r="B123" s="224"/>
      <c r="C123" s="342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</row>
    <row r="124" spans="1:13" ht="15.75">
      <c r="A124" s="342"/>
      <c r="B124" s="224"/>
      <c r="C124" s="342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</row>
    <row r="125" spans="1:13" ht="15.75">
      <c r="A125" s="342"/>
      <c r="B125" s="224"/>
      <c r="C125" s="342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</row>
    <row r="126" spans="1:13" ht="15.75">
      <c r="A126" s="342"/>
      <c r="B126" s="224"/>
      <c r="C126" s="342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</row>
    <row r="127" spans="1:13" ht="15.75">
      <c r="A127" s="342"/>
      <c r="B127" s="224"/>
      <c r="C127" s="342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</row>
  </sheetData>
  <sheetProtection/>
  <mergeCells count="20">
    <mergeCell ref="L1:N1"/>
    <mergeCell ref="A2:N2"/>
    <mergeCell ref="A3:N3"/>
    <mergeCell ref="A5:A8"/>
    <mergeCell ref="B5:B8"/>
    <mergeCell ref="C5:C8"/>
    <mergeCell ref="D5:D8"/>
    <mergeCell ref="E5:E8"/>
    <mergeCell ref="J5:L6"/>
    <mergeCell ref="F5:F8"/>
    <mergeCell ref="G5:G8"/>
    <mergeCell ref="P5:P8"/>
    <mergeCell ref="H7:H8"/>
    <mergeCell ref="I7:I8"/>
    <mergeCell ref="K7:K8"/>
    <mergeCell ref="N5:N8"/>
    <mergeCell ref="H5:I6"/>
    <mergeCell ref="M5:M8"/>
    <mergeCell ref="L7:L8"/>
    <mergeCell ref="J7:J8"/>
  </mergeCells>
  <printOptions horizontalCentered="1"/>
  <pageMargins left="0" right="0" top="0.5" bottom="0.5" header="0.5" footer="0.5"/>
  <pageSetup firstPageNumber="15" useFirstPageNumber="1" horizontalDpi="600" verticalDpi="600" orientation="landscape" paperSize="9" scale="8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97"/>
  <sheetViews>
    <sheetView tabSelected="1" view="pageBreakPreview" zoomScale="75" zoomScaleSheetLayoutView="75" zoomScalePageLayoutView="0" workbookViewId="0" topLeftCell="A1">
      <selection activeCell="J100" sqref="J100"/>
    </sheetView>
  </sheetViews>
  <sheetFormatPr defaultColWidth="9.00390625" defaultRowHeight="15.75"/>
  <cols>
    <col min="1" max="1" width="4.875" style="0" customWidth="1"/>
    <col min="2" max="2" width="43.75390625" style="0" customWidth="1"/>
    <col min="3" max="3" width="8.25390625" style="0" customWidth="1"/>
    <col min="4" max="4" width="9.75390625" style="0" hidden="1" customWidth="1"/>
    <col min="5" max="5" width="9.75390625" style="0" customWidth="1"/>
    <col min="6" max="6" width="9.75390625" style="722" customWidth="1"/>
    <col min="7" max="7" width="9.75390625" style="0" customWidth="1"/>
    <col min="8" max="8" width="10.625" style="42" customWidth="1"/>
    <col min="9" max="9" width="10.00390625" style="0" customWidth="1"/>
    <col min="10" max="10" width="11.50390625" style="0" customWidth="1"/>
    <col min="11" max="12" width="12.25390625" style="0" customWidth="1"/>
    <col min="13" max="13" width="10.75390625" style="0" hidden="1" customWidth="1"/>
    <col min="14" max="14" width="12.375" style="0" customWidth="1"/>
    <col min="15" max="16" width="11.625" style="42" customWidth="1"/>
    <col min="17" max="17" width="13.125" style="42" customWidth="1"/>
    <col min="18" max="18" width="12.00390625" style="119" customWidth="1"/>
    <col min="19" max="19" width="9.00390625" style="410" customWidth="1"/>
    <col min="20" max="25" width="9.00390625" style="42" customWidth="1"/>
  </cols>
  <sheetData>
    <row r="1" spans="1:14" ht="15.75">
      <c r="A1" s="869"/>
      <c r="B1" s="869"/>
      <c r="C1" s="73"/>
      <c r="D1" s="74"/>
      <c r="E1" s="74"/>
      <c r="F1" s="697"/>
      <c r="G1" s="74"/>
      <c r="H1" s="74"/>
      <c r="I1" s="74"/>
      <c r="J1" s="74"/>
      <c r="K1" s="88"/>
      <c r="L1" s="870" t="s">
        <v>441</v>
      </c>
      <c r="M1" s="870"/>
      <c r="N1" s="870"/>
    </row>
    <row r="2" spans="1:14" ht="15.75">
      <c r="A2" s="826" t="s">
        <v>698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</row>
    <row r="3" spans="1:14" ht="15.75">
      <c r="A3" s="855" t="str">
        <f>'BIỂU 01'!A3:N3</f>
        <v>(Kèm theo Báo cáo            /BC-UBND, ngày      /6/2024 của UBND huyện Điện Biên)</v>
      </c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</row>
    <row r="4" spans="1:14" ht="15.75">
      <c r="A4" s="72"/>
      <c r="B4" s="72"/>
      <c r="C4" s="72"/>
      <c r="D4" s="72"/>
      <c r="E4" s="72"/>
      <c r="F4" s="698"/>
      <c r="G4" s="72"/>
      <c r="H4" s="72"/>
      <c r="I4" s="72"/>
      <c r="J4" s="72"/>
      <c r="K4" s="72"/>
      <c r="L4" s="72"/>
      <c r="M4" s="72"/>
      <c r="N4" s="72"/>
    </row>
    <row r="5" spans="1:18" ht="12" customHeight="1">
      <c r="A5" s="867" t="s">
        <v>1</v>
      </c>
      <c r="B5" s="867" t="s">
        <v>2</v>
      </c>
      <c r="C5" s="867" t="s">
        <v>3</v>
      </c>
      <c r="D5" s="868" t="s">
        <v>670</v>
      </c>
      <c r="E5" s="740" t="s">
        <v>687</v>
      </c>
      <c r="F5" s="864" t="s">
        <v>689</v>
      </c>
      <c r="G5" s="840" t="s">
        <v>690</v>
      </c>
      <c r="H5" s="725" t="s">
        <v>672</v>
      </c>
      <c r="I5" s="829"/>
      <c r="J5" s="725" t="s">
        <v>4</v>
      </c>
      <c r="K5" s="838"/>
      <c r="L5" s="829"/>
      <c r="M5" s="834" t="s">
        <v>672</v>
      </c>
      <c r="N5" s="834" t="s">
        <v>691</v>
      </c>
      <c r="O5" s="50" t="s">
        <v>582</v>
      </c>
      <c r="R5" s="120" t="s">
        <v>655</v>
      </c>
    </row>
    <row r="6" spans="1:14" ht="12" customHeight="1">
      <c r="A6" s="867"/>
      <c r="B6" s="867"/>
      <c r="C6" s="867"/>
      <c r="D6" s="868"/>
      <c r="E6" s="741"/>
      <c r="F6" s="865"/>
      <c r="G6" s="841"/>
      <c r="H6" s="830"/>
      <c r="I6" s="831"/>
      <c r="J6" s="830"/>
      <c r="K6" s="839"/>
      <c r="L6" s="831"/>
      <c r="M6" s="834"/>
      <c r="N6" s="834"/>
    </row>
    <row r="7" spans="1:14" ht="47.25" customHeight="1">
      <c r="A7" s="867"/>
      <c r="B7" s="867"/>
      <c r="C7" s="867" t="s">
        <v>5</v>
      </c>
      <c r="D7" s="868"/>
      <c r="E7" s="741"/>
      <c r="F7" s="865"/>
      <c r="G7" s="841"/>
      <c r="H7" s="832" t="s">
        <v>6</v>
      </c>
      <c r="I7" s="832" t="s">
        <v>7</v>
      </c>
      <c r="J7" s="832" t="s">
        <v>692</v>
      </c>
      <c r="K7" s="834" t="s">
        <v>704</v>
      </c>
      <c r="L7" s="834" t="s">
        <v>705</v>
      </c>
      <c r="M7" s="834"/>
      <c r="N7" s="834"/>
    </row>
    <row r="8" spans="1:14" ht="47.25" customHeight="1">
      <c r="A8" s="867"/>
      <c r="B8" s="867"/>
      <c r="C8" s="867" t="s">
        <v>8</v>
      </c>
      <c r="D8" s="868"/>
      <c r="E8" s="742"/>
      <c r="F8" s="866"/>
      <c r="G8" s="842"/>
      <c r="H8" s="833"/>
      <c r="I8" s="833"/>
      <c r="J8" s="833"/>
      <c r="K8" s="834"/>
      <c r="L8" s="834"/>
      <c r="M8" s="834"/>
      <c r="N8" s="834"/>
    </row>
    <row r="9" spans="1:14" ht="15.75">
      <c r="A9" s="21" t="s">
        <v>9</v>
      </c>
      <c r="B9" s="21" t="s">
        <v>10</v>
      </c>
      <c r="C9" s="20" t="s">
        <v>11</v>
      </c>
      <c r="D9" s="20">
        <v>1</v>
      </c>
      <c r="E9" s="20">
        <v>1</v>
      </c>
      <c r="F9" s="699">
        <v>2</v>
      </c>
      <c r="G9" s="20">
        <v>3</v>
      </c>
      <c r="H9" s="20">
        <v>4</v>
      </c>
      <c r="I9" s="20">
        <v>5</v>
      </c>
      <c r="J9" s="20" t="s">
        <v>695</v>
      </c>
      <c r="K9" s="8" t="s">
        <v>699</v>
      </c>
      <c r="L9" s="8" t="s">
        <v>700</v>
      </c>
      <c r="M9" s="20">
        <v>8</v>
      </c>
      <c r="N9" s="9">
        <v>9</v>
      </c>
    </row>
    <row r="10" spans="1:14" ht="15.75">
      <c r="A10" s="22" t="s">
        <v>14</v>
      </c>
      <c r="B10" s="23" t="s">
        <v>442</v>
      </c>
      <c r="C10" s="24"/>
      <c r="D10" s="173"/>
      <c r="E10" s="173"/>
      <c r="F10" s="700"/>
      <c r="G10" s="173"/>
      <c r="H10" s="173"/>
      <c r="I10" s="173"/>
      <c r="J10" s="173"/>
      <c r="K10" s="173"/>
      <c r="L10" s="173"/>
      <c r="M10" s="173"/>
      <c r="N10" s="75"/>
    </row>
    <row r="11" spans="1:14" ht="15.75">
      <c r="A11" s="16">
        <v>1</v>
      </c>
      <c r="B11" s="25" t="s">
        <v>443</v>
      </c>
      <c r="C11" s="26"/>
      <c r="D11" s="173"/>
      <c r="E11" s="173"/>
      <c r="F11" s="700"/>
      <c r="G11" s="173"/>
      <c r="H11" s="173"/>
      <c r="I11" s="173"/>
      <c r="J11" s="173"/>
      <c r="K11" s="173"/>
      <c r="L11" s="173"/>
      <c r="M11" s="173"/>
      <c r="N11" s="75"/>
    </row>
    <row r="12" spans="1:14" ht="15.75">
      <c r="A12" s="17"/>
      <c r="B12" s="27" t="s">
        <v>444</v>
      </c>
      <c r="C12" s="26" t="s">
        <v>445</v>
      </c>
      <c r="D12" s="125">
        <v>160</v>
      </c>
      <c r="E12" s="125"/>
      <c r="F12" s="701"/>
      <c r="G12" s="125"/>
      <c r="H12" s="125"/>
      <c r="I12" s="125"/>
      <c r="J12" s="125"/>
      <c r="K12" s="124"/>
      <c r="L12" s="124"/>
      <c r="M12" s="125"/>
      <c r="N12" s="76"/>
    </row>
    <row r="13" spans="1:14" ht="15.75">
      <c r="A13" s="17"/>
      <c r="B13" s="27" t="s">
        <v>446</v>
      </c>
      <c r="C13" s="26" t="s">
        <v>447</v>
      </c>
      <c r="D13" s="124">
        <v>50.058</v>
      </c>
      <c r="E13" s="124"/>
      <c r="F13" s="702"/>
      <c r="G13" s="124"/>
      <c r="H13" s="124"/>
      <c r="I13" s="124"/>
      <c r="J13" s="125"/>
      <c r="K13" s="124"/>
      <c r="L13" s="124"/>
      <c r="M13" s="124"/>
      <c r="N13" s="77"/>
    </row>
    <row r="14" spans="1:14" ht="15.75">
      <c r="A14" s="17"/>
      <c r="B14" s="27" t="s">
        <v>448</v>
      </c>
      <c r="C14" s="26" t="s">
        <v>447</v>
      </c>
      <c r="D14" s="124">
        <f>D13</f>
        <v>50.058</v>
      </c>
      <c r="E14" s="124"/>
      <c r="F14" s="702"/>
      <c r="G14" s="124"/>
      <c r="H14" s="124"/>
      <c r="I14" s="124"/>
      <c r="J14" s="125"/>
      <c r="K14" s="124"/>
      <c r="L14" s="124"/>
      <c r="M14" s="124"/>
      <c r="N14" s="77"/>
    </row>
    <row r="15" spans="1:14" ht="15.75">
      <c r="A15" s="16">
        <v>2</v>
      </c>
      <c r="B15" s="25" t="s">
        <v>449</v>
      </c>
      <c r="C15" s="26"/>
      <c r="D15" s="174"/>
      <c r="E15" s="174"/>
      <c r="F15" s="703"/>
      <c r="G15" s="174"/>
      <c r="H15" s="124"/>
      <c r="I15" s="124"/>
      <c r="J15" s="125"/>
      <c r="K15" s="124"/>
      <c r="L15" s="124"/>
      <c r="M15" s="124"/>
      <c r="N15" s="77"/>
    </row>
    <row r="16" spans="1:14" ht="15.75">
      <c r="A16" s="17"/>
      <c r="B16" s="27" t="s">
        <v>450</v>
      </c>
      <c r="C16" s="26" t="s">
        <v>451</v>
      </c>
      <c r="D16" s="125">
        <v>1</v>
      </c>
      <c r="E16" s="125"/>
      <c r="F16" s="704"/>
      <c r="G16" s="125">
        <v>1</v>
      </c>
      <c r="H16" s="125"/>
      <c r="I16" s="125"/>
      <c r="J16" s="125"/>
      <c r="K16" s="124"/>
      <c r="L16" s="124"/>
      <c r="M16" s="125"/>
      <c r="N16" s="125"/>
    </row>
    <row r="17" spans="1:14" ht="15.75">
      <c r="A17" s="17"/>
      <c r="B17" s="27" t="s">
        <v>452</v>
      </c>
      <c r="C17" s="26" t="s">
        <v>453</v>
      </c>
      <c r="D17" s="125">
        <v>120</v>
      </c>
      <c r="E17" s="125"/>
      <c r="F17" s="704">
        <v>90</v>
      </c>
      <c r="G17" s="125">
        <v>70</v>
      </c>
      <c r="H17" s="125"/>
      <c r="I17" s="125"/>
      <c r="J17" s="125">
        <f>F17/G17*100</f>
        <v>128.57142857142858</v>
      </c>
      <c r="K17" s="124"/>
      <c r="L17" s="124"/>
      <c r="M17" s="125"/>
      <c r="N17" s="125"/>
    </row>
    <row r="18" spans="1:14" ht="15.75">
      <c r="A18" s="16">
        <v>3</v>
      </c>
      <c r="B18" s="25" t="s">
        <v>454</v>
      </c>
      <c r="C18" s="26"/>
      <c r="D18" s="125"/>
      <c r="E18" s="125"/>
      <c r="F18" s="704"/>
      <c r="G18" s="125"/>
      <c r="H18" s="124"/>
      <c r="I18" s="124"/>
      <c r="J18" s="125"/>
      <c r="K18" s="124"/>
      <c r="L18" s="124"/>
      <c r="M18" s="124"/>
      <c r="N18" s="124"/>
    </row>
    <row r="19" spans="1:14" ht="15.75">
      <c r="A19" s="16"/>
      <c r="B19" s="27" t="s">
        <v>455</v>
      </c>
      <c r="C19" s="26" t="s">
        <v>456</v>
      </c>
      <c r="D19" s="125">
        <v>1</v>
      </c>
      <c r="E19" s="125">
        <v>1</v>
      </c>
      <c r="F19" s="704">
        <v>1</v>
      </c>
      <c r="G19" s="125">
        <v>1</v>
      </c>
      <c r="H19" s="125"/>
      <c r="I19" s="125">
        <v>1</v>
      </c>
      <c r="J19" s="125">
        <f aca="true" t="shared" si="0" ref="J19:J81">F19/G19*100</f>
        <v>100</v>
      </c>
      <c r="K19" s="124"/>
      <c r="L19" s="124">
        <f aca="true" t="shared" si="1" ref="L19:L81">F19/I19*100</f>
        <v>100</v>
      </c>
      <c r="M19" s="125"/>
      <c r="N19" s="125">
        <v>1</v>
      </c>
    </row>
    <row r="20" spans="1:14" ht="15.75">
      <c r="A20" s="17"/>
      <c r="B20" s="27" t="s">
        <v>457</v>
      </c>
      <c r="C20" s="26" t="s">
        <v>458</v>
      </c>
      <c r="D20" s="175">
        <v>0.5</v>
      </c>
      <c r="E20" s="175">
        <v>0.2</v>
      </c>
      <c r="F20" s="705">
        <v>0.1</v>
      </c>
      <c r="G20" s="175">
        <v>0.1</v>
      </c>
      <c r="H20" s="174"/>
      <c r="I20" s="174">
        <v>0.2</v>
      </c>
      <c r="J20" s="125">
        <f t="shared" si="0"/>
        <v>100</v>
      </c>
      <c r="K20" s="124"/>
      <c r="L20" s="124">
        <f t="shared" si="1"/>
        <v>50</v>
      </c>
      <c r="M20" s="174"/>
      <c r="N20" s="174">
        <v>0.2</v>
      </c>
    </row>
    <row r="21" spans="1:14" ht="15.75">
      <c r="A21" s="17"/>
      <c r="B21" s="27" t="s">
        <v>459</v>
      </c>
      <c r="C21" s="26" t="s">
        <v>458</v>
      </c>
      <c r="D21" s="124">
        <v>11.45</v>
      </c>
      <c r="E21" s="124">
        <v>11.65</v>
      </c>
      <c r="F21" s="706">
        <v>11.75</v>
      </c>
      <c r="G21" s="124">
        <v>11.5</v>
      </c>
      <c r="H21" s="125"/>
      <c r="I21" s="124">
        <v>11.85</v>
      </c>
      <c r="J21" s="125">
        <f t="shared" si="0"/>
        <v>102.17391304347827</v>
      </c>
      <c r="K21" s="124"/>
      <c r="L21" s="124">
        <f t="shared" si="1"/>
        <v>99.15611814345992</v>
      </c>
      <c r="M21" s="124"/>
      <c r="N21" s="124">
        <v>11.85</v>
      </c>
    </row>
    <row r="22" spans="1:14" ht="15.75">
      <c r="A22" s="17"/>
      <c r="B22" s="27" t="s">
        <v>460</v>
      </c>
      <c r="C22" s="26" t="s">
        <v>461</v>
      </c>
      <c r="D22" s="124">
        <v>2</v>
      </c>
      <c r="E22" s="184">
        <v>2.12</v>
      </c>
      <c r="F22" s="723">
        <v>1.15</v>
      </c>
      <c r="G22" s="184">
        <v>1.05</v>
      </c>
      <c r="H22" s="125"/>
      <c r="I22" s="174">
        <v>2.2</v>
      </c>
      <c r="J22" s="125">
        <f t="shared" si="0"/>
        <v>109.52380952380952</v>
      </c>
      <c r="K22" s="124"/>
      <c r="L22" s="124">
        <f t="shared" si="1"/>
        <v>52.27272727272726</v>
      </c>
      <c r="M22" s="174"/>
      <c r="N22" s="174">
        <v>2.2</v>
      </c>
    </row>
    <row r="23" spans="1:14" ht="15.75">
      <c r="A23" s="17"/>
      <c r="B23" s="27" t="s">
        <v>462</v>
      </c>
      <c r="C23" s="26" t="s">
        <v>463</v>
      </c>
      <c r="D23" s="125">
        <v>95</v>
      </c>
      <c r="E23" s="125">
        <v>95</v>
      </c>
      <c r="F23" s="704">
        <v>95</v>
      </c>
      <c r="G23" s="125">
        <v>95</v>
      </c>
      <c r="H23" s="125"/>
      <c r="I23" s="125">
        <v>95</v>
      </c>
      <c r="J23" s="125">
        <f t="shared" si="0"/>
        <v>100</v>
      </c>
      <c r="K23" s="124"/>
      <c r="L23" s="124">
        <f t="shared" si="1"/>
        <v>100</v>
      </c>
      <c r="M23" s="125"/>
      <c r="N23" s="125">
        <v>95</v>
      </c>
    </row>
    <row r="24" spans="1:14" ht="15.75">
      <c r="A24" s="17"/>
      <c r="B24" s="27" t="s">
        <v>464</v>
      </c>
      <c r="C24" s="26" t="s">
        <v>463</v>
      </c>
      <c r="D24" s="125">
        <v>95</v>
      </c>
      <c r="E24" s="125">
        <v>95</v>
      </c>
      <c r="F24" s="704">
        <v>95</v>
      </c>
      <c r="G24" s="125">
        <v>95</v>
      </c>
      <c r="H24" s="125"/>
      <c r="I24" s="125">
        <v>95</v>
      </c>
      <c r="J24" s="125">
        <f t="shared" si="0"/>
        <v>100</v>
      </c>
      <c r="K24" s="124"/>
      <c r="L24" s="124">
        <f t="shared" si="1"/>
        <v>100</v>
      </c>
      <c r="M24" s="125"/>
      <c r="N24" s="125">
        <v>95</v>
      </c>
    </row>
    <row r="25" spans="1:14" ht="15.75">
      <c r="A25" s="17"/>
      <c r="B25" s="27" t="s">
        <v>465</v>
      </c>
      <c r="C25" s="26" t="s">
        <v>463</v>
      </c>
      <c r="D25" s="125">
        <v>75</v>
      </c>
      <c r="E25" s="125">
        <v>75</v>
      </c>
      <c r="F25" s="704">
        <v>75</v>
      </c>
      <c r="G25" s="125">
        <v>75</v>
      </c>
      <c r="H25" s="125"/>
      <c r="I25" s="125">
        <v>75</v>
      </c>
      <c r="J25" s="125">
        <f t="shared" si="0"/>
        <v>100</v>
      </c>
      <c r="K25" s="124"/>
      <c r="L25" s="124">
        <f t="shared" si="1"/>
        <v>100</v>
      </c>
      <c r="M25" s="125"/>
      <c r="N25" s="125">
        <v>75</v>
      </c>
    </row>
    <row r="26" spans="1:14" ht="15.75">
      <c r="A26" s="10">
        <v>4</v>
      </c>
      <c r="B26" s="25" t="s">
        <v>466</v>
      </c>
      <c r="C26" s="26"/>
      <c r="D26" s="176"/>
      <c r="E26" s="176"/>
      <c r="F26" s="707"/>
      <c r="G26" s="176"/>
      <c r="H26" s="124"/>
      <c r="I26" s="124"/>
      <c r="J26" s="125"/>
      <c r="K26" s="124"/>
      <c r="L26" s="124"/>
      <c r="M26" s="124"/>
      <c r="N26" s="124"/>
    </row>
    <row r="27" spans="1:14" ht="15.75">
      <c r="A27" s="28" t="s">
        <v>33</v>
      </c>
      <c r="B27" s="29" t="s">
        <v>467</v>
      </c>
      <c r="C27" s="26"/>
      <c r="D27" s="123"/>
      <c r="E27" s="123"/>
      <c r="F27" s="708"/>
      <c r="G27" s="123"/>
      <c r="H27" s="124"/>
      <c r="I27" s="124"/>
      <c r="J27" s="125"/>
      <c r="K27" s="124"/>
      <c r="L27" s="124"/>
      <c r="M27" s="124"/>
      <c r="N27" s="124"/>
    </row>
    <row r="28" spans="1:19" s="57" customFormat="1" ht="15.75">
      <c r="A28" s="30" t="s">
        <v>468</v>
      </c>
      <c r="B28" s="31" t="s">
        <v>469</v>
      </c>
      <c r="C28" s="32" t="s">
        <v>182</v>
      </c>
      <c r="D28" s="177">
        <v>76.9</v>
      </c>
      <c r="E28" s="177"/>
      <c r="F28" s="709"/>
      <c r="G28" s="177"/>
      <c r="H28" s="177"/>
      <c r="I28" s="177"/>
      <c r="J28" s="125"/>
      <c r="K28" s="124"/>
      <c r="L28" s="124"/>
      <c r="M28" s="177"/>
      <c r="N28" s="177"/>
      <c r="O28" s="57">
        <v>76.9</v>
      </c>
      <c r="R28" s="121"/>
      <c r="S28" s="415"/>
    </row>
    <row r="29" spans="1:14" ht="15.75">
      <c r="A29" s="28"/>
      <c r="B29" s="33" t="s">
        <v>470</v>
      </c>
      <c r="C29" s="26" t="s">
        <v>471</v>
      </c>
      <c r="D29" s="178">
        <v>21172</v>
      </c>
      <c r="E29" s="178"/>
      <c r="F29" s="710"/>
      <c r="G29" s="178"/>
      <c r="H29" s="178"/>
      <c r="I29" s="178"/>
      <c r="J29" s="125"/>
      <c r="K29" s="124"/>
      <c r="L29" s="124"/>
      <c r="M29" s="178"/>
      <c r="N29" s="178"/>
    </row>
    <row r="30" spans="1:15" ht="15.75">
      <c r="A30" s="34"/>
      <c r="B30" s="14" t="s">
        <v>472</v>
      </c>
      <c r="C30" s="26" t="s">
        <v>471</v>
      </c>
      <c r="D30" s="178">
        <v>20148</v>
      </c>
      <c r="E30" s="178">
        <v>20709</v>
      </c>
      <c r="F30" s="710">
        <v>20709</v>
      </c>
      <c r="G30" s="178"/>
      <c r="H30" s="178">
        <v>20710</v>
      </c>
      <c r="I30" s="178">
        <v>20710</v>
      </c>
      <c r="J30" s="125"/>
      <c r="K30" s="124"/>
      <c r="L30" s="124"/>
      <c r="M30" s="178"/>
      <c r="N30" s="178">
        <v>20710</v>
      </c>
      <c r="O30" s="42">
        <v>19700</v>
      </c>
    </row>
    <row r="31" spans="1:19" s="57" customFormat="1" ht="15.75">
      <c r="A31" s="34" t="s">
        <v>473</v>
      </c>
      <c r="B31" s="35" t="s">
        <v>474</v>
      </c>
      <c r="C31" s="32" t="s">
        <v>23</v>
      </c>
      <c r="D31" s="179">
        <f>D34/D32*100</f>
        <v>84.36363636363636</v>
      </c>
      <c r="E31" s="179">
        <f>E34/E32*100</f>
        <v>88.36363636363636</v>
      </c>
      <c r="F31" s="711"/>
      <c r="G31" s="179"/>
      <c r="H31" s="179">
        <v>88.4</v>
      </c>
      <c r="I31" s="179">
        <v>88.4</v>
      </c>
      <c r="J31" s="125"/>
      <c r="K31" s="124"/>
      <c r="L31" s="124"/>
      <c r="M31" s="179"/>
      <c r="N31" s="179">
        <v>88.4</v>
      </c>
      <c r="O31" s="57">
        <v>78.9</v>
      </c>
      <c r="R31" s="121"/>
      <c r="S31" s="415"/>
    </row>
    <row r="32" spans="1:15" ht="15.75">
      <c r="A32" s="36"/>
      <c r="B32" s="14" t="s">
        <v>475</v>
      </c>
      <c r="C32" s="26" t="s">
        <v>476</v>
      </c>
      <c r="D32" s="125">
        <v>275</v>
      </c>
      <c r="E32" s="125">
        <v>275</v>
      </c>
      <c r="F32" s="701">
        <v>275</v>
      </c>
      <c r="G32" s="125">
        <v>275</v>
      </c>
      <c r="H32" s="125"/>
      <c r="I32" s="125">
        <v>275</v>
      </c>
      <c r="J32" s="125">
        <f t="shared" si="0"/>
        <v>100</v>
      </c>
      <c r="K32" s="124"/>
      <c r="L32" s="124">
        <f t="shared" si="1"/>
        <v>100</v>
      </c>
      <c r="M32" s="125"/>
      <c r="N32" s="125">
        <v>275</v>
      </c>
      <c r="O32" s="42">
        <v>217</v>
      </c>
    </row>
    <row r="33" spans="1:19" s="50" customFormat="1" ht="15.75">
      <c r="A33" s="19"/>
      <c r="B33" s="14" t="s">
        <v>477</v>
      </c>
      <c r="C33" s="24" t="s">
        <v>478</v>
      </c>
      <c r="D33" s="125">
        <v>249</v>
      </c>
      <c r="E33" s="125">
        <v>249</v>
      </c>
      <c r="F33" s="701"/>
      <c r="G33" s="125"/>
      <c r="H33" s="125"/>
      <c r="I33" s="125">
        <v>250</v>
      </c>
      <c r="J33" s="125"/>
      <c r="K33" s="124"/>
      <c r="L33" s="124">
        <f>F33/I33*100</f>
        <v>0</v>
      </c>
      <c r="M33" s="125"/>
      <c r="N33" s="125">
        <v>250</v>
      </c>
      <c r="R33" s="119"/>
      <c r="S33" s="410"/>
    </row>
    <row r="34" spans="1:15" ht="15.75">
      <c r="A34" s="19"/>
      <c r="B34" s="33" t="s">
        <v>479</v>
      </c>
      <c r="C34" s="24" t="s">
        <v>478</v>
      </c>
      <c r="D34" s="125">
        <v>232</v>
      </c>
      <c r="E34" s="125">
        <v>243</v>
      </c>
      <c r="F34" s="701">
        <v>243</v>
      </c>
      <c r="G34" s="125"/>
      <c r="H34" s="125">
        <v>246</v>
      </c>
      <c r="I34" s="125">
        <v>246</v>
      </c>
      <c r="J34" s="125"/>
      <c r="K34" s="124">
        <f>F34/H34*100</f>
        <v>98.78048780487805</v>
      </c>
      <c r="L34" s="124">
        <f>F34/I34*100</f>
        <v>98.78048780487805</v>
      </c>
      <c r="M34" s="125"/>
      <c r="N34" s="125">
        <v>246</v>
      </c>
      <c r="O34" s="42">
        <v>217</v>
      </c>
    </row>
    <row r="35" spans="1:19" s="57" customFormat="1" ht="15.75">
      <c r="A35" s="34" t="s">
        <v>480</v>
      </c>
      <c r="B35" s="31" t="s">
        <v>481</v>
      </c>
      <c r="C35" s="32" t="s">
        <v>23</v>
      </c>
      <c r="D35" s="180">
        <f>D37/D36*100</f>
        <v>97.01492537313433</v>
      </c>
      <c r="E35" s="180">
        <f>E37/E36*100</f>
        <v>97.01492537313433</v>
      </c>
      <c r="F35" s="712"/>
      <c r="G35" s="180"/>
      <c r="H35" s="180"/>
      <c r="I35" s="180">
        <f>I37/I36*100</f>
        <v>99.25373134328358</v>
      </c>
      <c r="J35" s="125"/>
      <c r="K35" s="124"/>
      <c r="L35" s="124"/>
      <c r="M35" s="180"/>
      <c r="N35" s="180">
        <f>N37/N36*100</f>
        <v>99.25373134328358</v>
      </c>
      <c r="O35" s="57">
        <v>97</v>
      </c>
      <c r="R35" s="121"/>
      <c r="S35" s="415"/>
    </row>
    <row r="36" spans="1:14" ht="27.75" customHeight="1">
      <c r="A36" s="19"/>
      <c r="B36" s="33" t="s">
        <v>482</v>
      </c>
      <c r="C36" s="24" t="s">
        <v>483</v>
      </c>
      <c r="D36" s="125">
        <v>134</v>
      </c>
      <c r="E36" s="125">
        <v>134</v>
      </c>
      <c r="F36" s="701"/>
      <c r="G36" s="125"/>
      <c r="H36" s="125"/>
      <c r="I36" s="125">
        <v>134</v>
      </c>
      <c r="J36" s="125"/>
      <c r="K36" s="124"/>
      <c r="L36" s="124"/>
      <c r="M36" s="125"/>
      <c r="N36" s="125">
        <v>134</v>
      </c>
    </row>
    <row r="37" spans="1:15" ht="15.75">
      <c r="A37" s="19"/>
      <c r="B37" s="33" t="s">
        <v>484</v>
      </c>
      <c r="C37" s="24" t="s">
        <v>483</v>
      </c>
      <c r="D37" s="125">
        <v>130</v>
      </c>
      <c r="E37" s="125">
        <v>130</v>
      </c>
      <c r="F37" s="701">
        <v>130</v>
      </c>
      <c r="G37" s="125"/>
      <c r="H37" s="125"/>
      <c r="I37" s="125">
        <v>133</v>
      </c>
      <c r="J37" s="125"/>
      <c r="K37" s="124"/>
      <c r="L37" s="124">
        <f>F37/I37*100</f>
        <v>97.74436090225564</v>
      </c>
      <c r="M37" s="125"/>
      <c r="N37" s="125">
        <v>133</v>
      </c>
      <c r="O37" s="42">
        <v>130</v>
      </c>
    </row>
    <row r="38" spans="1:14" ht="15.75">
      <c r="A38" s="28" t="s">
        <v>35</v>
      </c>
      <c r="B38" s="37" t="s">
        <v>485</v>
      </c>
      <c r="C38" s="24"/>
      <c r="D38" s="124"/>
      <c r="E38" s="124"/>
      <c r="F38" s="702"/>
      <c r="G38" s="179"/>
      <c r="H38" s="124"/>
      <c r="I38" s="124"/>
      <c r="J38" s="125"/>
      <c r="K38" s="124"/>
      <c r="L38" s="124"/>
      <c r="M38" s="124"/>
      <c r="N38" s="124"/>
    </row>
    <row r="39" spans="1:15" ht="30">
      <c r="A39" s="19"/>
      <c r="B39" s="33" t="s">
        <v>486</v>
      </c>
      <c r="C39" s="24" t="s">
        <v>23</v>
      </c>
      <c r="D39" s="174">
        <v>23.8</v>
      </c>
      <c r="E39" s="174">
        <v>23.8</v>
      </c>
      <c r="F39" s="703">
        <f>E39</f>
        <v>23.8</v>
      </c>
      <c r="G39" s="174">
        <v>23.8</v>
      </c>
      <c r="H39" s="124">
        <f>6/21*100</f>
        <v>28.57142857142857</v>
      </c>
      <c r="I39" s="124">
        <f>6/21*100</f>
        <v>28.57142857142857</v>
      </c>
      <c r="J39" s="125">
        <f t="shared" si="0"/>
        <v>100</v>
      </c>
      <c r="K39" s="124">
        <f>F39/H39*100</f>
        <v>83.30000000000001</v>
      </c>
      <c r="L39" s="124">
        <f t="shared" si="1"/>
        <v>83.30000000000001</v>
      </c>
      <c r="M39" s="124"/>
      <c r="N39" s="124">
        <f>6/21*100</f>
        <v>28.57142857142857</v>
      </c>
      <c r="O39" s="42">
        <v>23.8</v>
      </c>
    </row>
    <row r="40" spans="1:14" ht="15.75">
      <c r="A40" s="19"/>
      <c r="B40" s="27" t="s">
        <v>487</v>
      </c>
      <c r="C40" s="26" t="s">
        <v>488</v>
      </c>
      <c r="D40" s="125">
        <v>5</v>
      </c>
      <c r="E40" s="125">
        <v>5</v>
      </c>
      <c r="F40" s="701">
        <v>5</v>
      </c>
      <c r="G40" s="125">
        <v>5</v>
      </c>
      <c r="H40" s="125">
        <v>6</v>
      </c>
      <c r="I40" s="125">
        <v>6</v>
      </c>
      <c r="J40" s="125">
        <f t="shared" si="0"/>
        <v>100</v>
      </c>
      <c r="K40" s="124">
        <f>F40/H40*100</f>
        <v>83.33333333333334</v>
      </c>
      <c r="L40" s="124">
        <f t="shared" si="1"/>
        <v>83.33333333333334</v>
      </c>
      <c r="M40" s="125"/>
      <c r="N40" s="125">
        <v>6</v>
      </c>
    </row>
    <row r="41" spans="1:15" ht="30">
      <c r="A41" s="19"/>
      <c r="B41" s="27" t="s">
        <v>489</v>
      </c>
      <c r="C41" s="26" t="s">
        <v>23</v>
      </c>
      <c r="D41" s="174">
        <v>9.5</v>
      </c>
      <c r="E41" s="174">
        <v>9.5</v>
      </c>
      <c r="F41" s="703">
        <v>9.5</v>
      </c>
      <c r="G41" s="174">
        <v>9.5</v>
      </c>
      <c r="H41" s="174">
        <v>9.8</v>
      </c>
      <c r="I41" s="174">
        <v>9.8</v>
      </c>
      <c r="J41" s="125">
        <f t="shared" si="0"/>
        <v>100</v>
      </c>
      <c r="K41" s="124">
        <f>F41/H41*100</f>
        <v>96.93877551020408</v>
      </c>
      <c r="L41" s="124">
        <f t="shared" si="1"/>
        <v>96.93877551020408</v>
      </c>
      <c r="M41" s="174"/>
      <c r="N41" s="174">
        <v>9.8</v>
      </c>
      <c r="O41" s="42">
        <v>9.5</v>
      </c>
    </row>
    <row r="42" spans="1:25" s="402" customFormat="1" ht="30">
      <c r="A42" s="19"/>
      <c r="B42" s="27" t="s">
        <v>490</v>
      </c>
      <c r="C42" s="26" t="s">
        <v>491</v>
      </c>
      <c r="D42" s="125">
        <v>26</v>
      </c>
      <c r="E42" s="125">
        <v>26</v>
      </c>
      <c r="F42" s="701">
        <v>26</v>
      </c>
      <c r="G42" s="125">
        <v>26</v>
      </c>
      <c r="H42" s="125">
        <v>27</v>
      </c>
      <c r="I42" s="125">
        <v>27</v>
      </c>
      <c r="J42" s="125">
        <f t="shared" si="0"/>
        <v>100</v>
      </c>
      <c r="K42" s="124">
        <f>F42/H42*100</f>
        <v>96.29629629629629</v>
      </c>
      <c r="L42" s="124">
        <f t="shared" si="1"/>
        <v>96.29629629629629</v>
      </c>
      <c r="M42" s="400"/>
      <c r="N42" s="125">
        <v>27</v>
      </c>
      <c r="O42" s="401">
        <v>26</v>
      </c>
      <c r="P42" s="401"/>
      <c r="Q42" s="401"/>
      <c r="R42" s="401"/>
      <c r="S42" s="410"/>
      <c r="T42" s="401"/>
      <c r="U42" s="401"/>
      <c r="V42" s="401"/>
      <c r="W42" s="401"/>
      <c r="X42" s="401"/>
      <c r="Y42" s="401"/>
    </row>
    <row r="43" spans="1:14" ht="30">
      <c r="A43" s="19"/>
      <c r="B43" s="27" t="s">
        <v>492</v>
      </c>
      <c r="C43" s="26" t="s">
        <v>23</v>
      </c>
      <c r="D43" s="125">
        <v>100</v>
      </c>
      <c r="E43" s="125">
        <v>100</v>
      </c>
      <c r="F43" s="701">
        <v>100</v>
      </c>
      <c r="G43" s="125">
        <v>100</v>
      </c>
      <c r="H43" s="125">
        <v>100</v>
      </c>
      <c r="I43" s="125">
        <v>100</v>
      </c>
      <c r="J43" s="125">
        <f t="shared" si="0"/>
        <v>100</v>
      </c>
      <c r="K43" s="124">
        <f>F43/H43*100</f>
        <v>100</v>
      </c>
      <c r="L43" s="124">
        <f t="shared" si="1"/>
        <v>100</v>
      </c>
      <c r="M43" s="125"/>
      <c r="N43" s="125">
        <v>100</v>
      </c>
    </row>
    <row r="44" spans="1:14" ht="30">
      <c r="A44" s="19"/>
      <c r="B44" s="27" t="s">
        <v>493</v>
      </c>
      <c r="C44" s="26" t="s">
        <v>261</v>
      </c>
      <c r="D44" s="125">
        <v>21</v>
      </c>
      <c r="E44" s="125">
        <v>21</v>
      </c>
      <c r="F44" s="701">
        <v>21</v>
      </c>
      <c r="G44" s="125">
        <v>21</v>
      </c>
      <c r="H44" s="125"/>
      <c r="I44" s="125">
        <v>21</v>
      </c>
      <c r="J44" s="125">
        <f t="shared" si="0"/>
        <v>100</v>
      </c>
      <c r="K44" s="124"/>
      <c r="L44" s="124">
        <f t="shared" si="1"/>
        <v>100</v>
      </c>
      <c r="M44" s="125"/>
      <c r="N44" s="125">
        <v>21</v>
      </c>
    </row>
    <row r="45" spans="1:14" ht="30">
      <c r="A45" s="19"/>
      <c r="B45" s="27" t="s">
        <v>494</v>
      </c>
      <c r="C45" s="26" t="s">
        <v>23</v>
      </c>
      <c r="D45" s="125">
        <v>100</v>
      </c>
      <c r="E45" s="125">
        <v>100</v>
      </c>
      <c r="F45" s="701">
        <v>100</v>
      </c>
      <c r="G45" s="125">
        <v>100</v>
      </c>
      <c r="H45" s="125"/>
      <c r="I45" s="125">
        <v>100</v>
      </c>
      <c r="J45" s="125">
        <f t="shared" si="0"/>
        <v>100</v>
      </c>
      <c r="K45" s="124"/>
      <c r="L45" s="124">
        <f t="shared" si="1"/>
        <v>100</v>
      </c>
      <c r="M45" s="125"/>
      <c r="N45" s="125">
        <v>100</v>
      </c>
    </row>
    <row r="46" spans="1:14" ht="28.5">
      <c r="A46" s="10">
        <v>5</v>
      </c>
      <c r="B46" s="11" t="s">
        <v>495</v>
      </c>
      <c r="C46" s="24"/>
      <c r="D46" s="124"/>
      <c r="E46" s="124"/>
      <c r="F46" s="702"/>
      <c r="G46" s="124"/>
      <c r="H46" s="124"/>
      <c r="I46" s="124"/>
      <c r="J46" s="125"/>
      <c r="K46" s="124"/>
      <c r="L46" s="124"/>
      <c r="M46" s="124"/>
      <c r="N46" s="124"/>
    </row>
    <row r="47" spans="1:14" ht="15.75">
      <c r="A47" s="19" t="s">
        <v>496</v>
      </c>
      <c r="B47" s="14" t="s">
        <v>497</v>
      </c>
      <c r="C47" s="24" t="s">
        <v>451</v>
      </c>
      <c r="D47" s="125">
        <v>1</v>
      </c>
      <c r="E47" s="125">
        <v>1</v>
      </c>
      <c r="F47" s="701">
        <v>1</v>
      </c>
      <c r="G47" s="125">
        <v>1</v>
      </c>
      <c r="H47" s="125">
        <v>1</v>
      </c>
      <c r="I47" s="125">
        <v>1</v>
      </c>
      <c r="J47" s="125">
        <f t="shared" si="0"/>
        <v>100</v>
      </c>
      <c r="K47" s="124">
        <f>F47/H47*100</f>
        <v>100</v>
      </c>
      <c r="L47" s="124">
        <f t="shared" si="1"/>
        <v>100</v>
      </c>
      <c r="M47" s="125"/>
      <c r="N47" s="125">
        <v>1</v>
      </c>
    </row>
    <row r="48" spans="1:14" ht="15.75">
      <c r="A48" s="19" t="s">
        <v>498</v>
      </c>
      <c r="B48" s="14" t="s">
        <v>499</v>
      </c>
      <c r="C48" s="24" t="s">
        <v>500</v>
      </c>
      <c r="D48" s="125">
        <f>D49+D50+D52</f>
        <v>160</v>
      </c>
      <c r="E48" s="125">
        <v>170</v>
      </c>
      <c r="F48" s="713">
        <v>170</v>
      </c>
      <c r="G48" s="125">
        <f>G49+G50+G52</f>
        <v>160</v>
      </c>
      <c r="H48" s="125"/>
      <c r="I48" s="125">
        <f>I49+I50+I52</f>
        <v>173</v>
      </c>
      <c r="J48" s="125">
        <f t="shared" si="0"/>
        <v>106.25</v>
      </c>
      <c r="K48" s="124"/>
      <c r="L48" s="124">
        <f t="shared" si="1"/>
        <v>98.26589595375722</v>
      </c>
      <c r="M48" s="125"/>
      <c r="N48" s="125">
        <f>N49+N50+N52</f>
        <v>173</v>
      </c>
    </row>
    <row r="49" spans="1:14" ht="15.75">
      <c r="A49" s="34"/>
      <c r="B49" s="14" t="s">
        <v>501</v>
      </c>
      <c r="C49" s="24" t="s">
        <v>456</v>
      </c>
      <c r="D49" s="125">
        <v>1</v>
      </c>
      <c r="E49" s="125">
        <v>1</v>
      </c>
      <c r="F49" s="713">
        <v>1</v>
      </c>
      <c r="G49" s="125">
        <v>1</v>
      </c>
      <c r="H49" s="125">
        <v>1</v>
      </c>
      <c r="I49" s="125">
        <v>1</v>
      </c>
      <c r="J49" s="125">
        <f t="shared" si="0"/>
        <v>100</v>
      </c>
      <c r="K49" s="124">
        <f>F49/H49*100</f>
        <v>100</v>
      </c>
      <c r="L49" s="124">
        <f t="shared" si="1"/>
        <v>100</v>
      </c>
      <c r="M49" s="125"/>
      <c r="N49" s="125">
        <v>1</v>
      </c>
    </row>
    <row r="50" spans="1:14" ht="15.75">
      <c r="A50" s="19"/>
      <c r="B50" s="14" t="s">
        <v>502</v>
      </c>
      <c r="C50" s="24" t="s">
        <v>203</v>
      </c>
      <c r="D50" s="125">
        <v>6</v>
      </c>
      <c r="E50" s="125">
        <v>8</v>
      </c>
      <c r="F50" s="713">
        <v>8</v>
      </c>
      <c r="G50" s="125">
        <v>6</v>
      </c>
      <c r="H50" s="125">
        <v>9</v>
      </c>
      <c r="I50" s="125">
        <v>9</v>
      </c>
      <c r="J50" s="125">
        <f t="shared" si="0"/>
        <v>133.33333333333331</v>
      </c>
      <c r="K50" s="124">
        <f>F50/H50*100</f>
        <v>88.88888888888889</v>
      </c>
      <c r="L50" s="124">
        <f t="shared" si="1"/>
        <v>88.88888888888889</v>
      </c>
      <c r="M50" s="125"/>
      <c r="N50" s="125">
        <v>9</v>
      </c>
    </row>
    <row r="51" spans="1:14" ht="15.75">
      <c r="A51" s="19"/>
      <c r="B51" s="38" t="s">
        <v>503</v>
      </c>
      <c r="C51" s="24" t="s">
        <v>182</v>
      </c>
      <c r="D51" s="124">
        <f>D50/21*100</f>
        <v>28.57142857142857</v>
      </c>
      <c r="E51" s="124">
        <f>+E50/21*100</f>
        <v>38.095238095238095</v>
      </c>
      <c r="F51" s="714">
        <v>38.0952380952381</v>
      </c>
      <c r="G51" s="124">
        <f>G50/21*100</f>
        <v>28.57142857142857</v>
      </c>
      <c r="H51" s="124">
        <v>43</v>
      </c>
      <c r="I51" s="124">
        <v>43</v>
      </c>
      <c r="J51" s="125">
        <f t="shared" si="0"/>
        <v>133.33333333333337</v>
      </c>
      <c r="K51" s="124">
        <f>F51/H51*100</f>
        <v>88.59357696567001</v>
      </c>
      <c r="L51" s="124">
        <f t="shared" si="1"/>
        <v>88.59357696567001</v>
      </c>
      <c r="M51" s="124"/>
      <c r="N51" s="124">
        <v>43</v>
      </c>
    </row>
    <row r="52" spans="1:15" ht="15.75">
      <c r="A52" s="19"/>
      <c r="B52" s="14" t="s">
        <v>504</v>
      </c>
      <c r="C52" s="24" t="s">
        <v>500</v>
      </c>
      <c r="D52" s="125">
        <v>153</v>
      </c>
      <c r="E52" s="125">
        <v>161</v>
      </c>
      <c r="F52" s="713">
        <v>161</v>
      </c>
      <c r="G52" s="125">
        <v>153</v>
      </c>
      <c r="H52" s="125">
        <v>159</v>
      </c>
      <c r="I52" s="125">
        <v>163</v>
      </c>
      <c r="J52" s="125">
        <f t="shared" si="0"/>
        <v>105.22875816993465</v>
      </c>
      <c r="K52" s="124">
        <f>F52/H52*100</f>
        <v>101.25786163522012</v>
      </c>
      <c r="L52" s="124">
        <f t="shared" si="1"/>
        <v>98.77300613496932</v>
      </c>
      <c r="M52" s="125"/>
      <c r="N52" s="125">
        <v>163</v>
      </c>
      <c r="O52" s="42">
        <v>149</v>
      </c>
    </row>
    <row r="53" spans="1:14" ht="15.75">
      <c r="A53" s="34"/>
      <c r="B53" s="38" t="s">
        <v>505</v>
      </c>
      <c r="C53" s="24" t="s">
        <v>182</v>
      </c>
      <c r="D53" s="124">
        <f>D52/D32*100</f>
        <v>55.63636363636364</v>
      </c>
      <c r="E53" s="124">
        <f>+E52/275*100</f>
        <v>58.54545454545455</v>
      </c>
      <c r="F53" s="714">
        <v>58.54545454545455</v>
      </c>
      <c r="G53" s="124">
        <v>55.64</v>
      </c>
      <c r="H53" s="174">
        <f>H52/275*100</f>
        <v>57.81818181818181</v>
      </c>
      <c r="I53" s="124">
        <f>I52/275*100</f>
        <v>59.27272727272728</v>
      </c>
      <c r="J53" s="125">
        <f t="shared" si="0"/>
        <v>105.2218809228155</v>
      </c>
      <c r="K53" s="124">
        <f>F53/H53*100</f>
        <v>101.25786163522015</v>
      </c>
      <c r="L53" s="124">
        <f t="shared" si="1"/>
        <v>98.77300613496931</v>
      </c>
      <c r="M53" s="124"/>
      <c r="N53" s="124">
        <f>N52/275*100</f>
        <v>59.27272727272728</v>
      </c>
    </row>
    <row r="54" spans="1:14" ht="15.75">
      <c r="A54" s="34" t="s">
        <v>506</v>
      </c>
      <c r="B54" s="31" t="s">
        <v>507</v>
      </c>
      <c r="C54" s="24"/>
      <c r="D54" s="125"/>
      <c r="E54" s="125"/>
      <c r="F54" s="701"/>
      <c r="G54" s="125"/>
      <c r="H54" s="125"/>
      <c r="I54" s="125"/>
      <c r="J54" s="125"/>
      <c r="K54" s="124"/>
      <c r="L54" s="124"/>
      <c r="M54" s="125"/>
      <c r="N54" s="125"/>
    </row>
    <row r="55" spans="1:14" ht="15.75">
      <c r="A55" s="34"/>
      <c r="B55" s="14" t="s">
        <v>508</v>
      </c>
      <c r="C55" s="24" t="s">
        <v>509</v>
      </c>
      <c r="D55" s="125">
        <v>9</v>
      </c>
      <c r="E55" s="125">
        <v>9</v>
      </c>
      <c r="F55" s="701">
        <v>9</v>
      </c>
      <c r="G55" s="125">
        <v>9</v>
      </c>
      <c r="H55" s="125"/>
      <c r="I55" s="125">
        <v>9</v>
      </c>
      <c r="J55" s="125">
        <f t="shared" si="0"/>
        <v>100</v>
      </c>
      <c r="K55" s="124"/>
      <c r="L55" s="124">
        <f t="shared" si="1"/>
        <v>100</v>
      </c>
      <c r="M55" s="125"/>
      <c r="N55" s="125">
        <v>9</v>
      </c>
    </row>
    <row r="56" spans="1:14" ht="15.75">
      <c r="A56" s="19"/>
      <c r="B56" s="38" t="s">
        <v>510</v>
      </c>
      <c r="C56" s="24" t="s">
        <v>23</v>
      </c>
      <c r="D56" s="125">
        <v>43</v>
      </c>
      <c r="E56" s="125">
        <v>43</v>
      </c>
      <c r="F56" s="701">
        <v>43</v>
      </c>
      <c r="G56" s="125">
        <v>43</v>
      </c>
      <c r="H56" s="125"/>
      <c r="I56" s="125">
        <v>43</v>
      </c>
      <c r="J56" s="125">
        <f t="shared" si="0"/>
        <v>100</v>
      </c>
      <c r="K56" s="124"/>
      <c r="L56" s="124">
        <f t="shared" si="1"/>
        <v>100</v>
      </c>
      <c r="M56" s="125"/>
      <c r="N56" s="125">
        <v>43</v>
      </c>
    </row>
    <row r="57" spans="1:14" ht="15.75">
      <c r="A57" s="34"/>
      <c r="B57" s="14" t="s">
        <v>511</v>
      </c>
      <c r="C57" s="24" t="s">
        <v>512</v>
      </c>
      <c r="D57" s="124"/>
      <c r="E57" s="124"/>
      <c r="F57" s="702"/>
      <c r="G57" s="124"/>
      <c r="H57" s="124"/>
      <c r="I57" s="124"/>
      <c r="J57" s="125"/>
      <c r="K57" s="124"/>
      <c r="L57" s="124"/>
      <c r="M57" s="124"/>
      <c r="N57" s="124"/>
    </row>
    <row r="58" spans="1:14" ht="15.75">
      <c r="A58" s="19"/>
      <c r="B58" s="38" t="s">
        <v>513</v>
      </c>
      <c r="C58" s="24" t="s">
        <v>23</v>
      </c>
      <c r="D58" s="124"/>
      <c r="E58" s="124"/>
      <c r="F58" s="702"/>
      <c r="G58" s="124"/>
      <c r="H58" s="124"/>
      <c r="I58" s="124"/>
      <c r="J58" s="125"/>
      <c r="K58" s="124"/>
      <c r="L58" s="124"/>
      <c r="M58" s="124"/>
      <c r="N58" s="124"/>
    </row>
    <row r="59" spans="1:14" ht="15.75">
      <c r="A59" s="34"/>
      <c r="B59" s="14" t="s">
        <v>514</v>
      </c>
      <c r="C59" s="24" t="s">
        <v>509</v>
      </c>
      <c r="D59" s="125">
        <v>14</v>
      </c>
      <c r="E59" s="125">
        <v>14</v>
      </c>
      <c r="F59" s="701">
        <v>14</v>
      </c>
      <c r="G59" s="125">
        <v>14</v>
      </c>
      <c r="H59" s="125"/>
      <c r="I59" s="125">
        <v>14</v>
      </c>
      <c r="J59" s="125">
        <f t="shared" si="0"/>
        <v>100</v>
      </c>
      <c r="K59" s="124"/>
      <c r="L59" s="124">
        <f t="shared" si="1"/>
        <v>100</v>
      </c>
      <c r="M59" s="125"/>
      <c r="N59" s="125">
        <v>14</v>
      </c>
    </row>
    <row r="60" spans="1:14" ht="15.75">
      <c r="A60" s="19"/>
      <c r="B60" s="38" t="s">
        <v>515</v>
      </c>
      <c r="C60" s="24" t="s">
        <v>23</v>
      </c>
      <c r="D60" s="174">
        <v>5.1</v>
      </c>
      <c r="E60" s="174">
        <v>5.1</v>
      </c>
      <c r="F60" s="703" t="s">
        <v>496</v>
      </c>
      <c r="G60" s="174">
        <v>5.1</v>
      </c>
      <c r="H60" s="174"/>
      <c r="I60" s="174">
        <v>5.1</v>
      </c>
      <c r="J60" s="125"/>
      <c r="K60" s="124"/>
      <c r="L60" s="124"/>
      <c r="M60" s="174"/>
      <c r="N60" s="174">
        <v>5.1</v>
      </c>
    </row>
    <row r="61" spans="1:14" ht="15.75">
      <c r="A61" s="10">
        <v>6</v>
      </c>
      <c r="B61" s="11" t="s">
        <v>516</v>
      </c>
      <c r="C61" s="39"/>
      <c r="D61" s="181"/>
      <c r="E61" s="181"/>
      <c r="F61" s="715"/>
      <c r="G61" s="181"/>
      <c r="H61" s="124"/>
      <c r="I61" s="124"/>
      <c r="J61" s="125"/>
      <c r="K61" s="124"/>
      <c r="L61" s="124"/>
      <c r="M61" s="124"/>
      <c r="N61" s="124"/>
    </row>
    <row r="62" spans="1:14" ht="30">
      <c r="A62" s="19"/>
      <c r="B62" s="14" t="s">
        <v>517</v>
      </c>
      <c r="C62" s="39"/>
      <c r="D62" s="182"/>
      <c r="E62" s="182"/>
      <c r="F62" s="716"/>
      <c r="G62" s="182"/>
      <c r="H62" s="124"/>
      <c r="I62" s="124"/>
      <c r="J62" s="125"/>
      <c r="K62" s="124"/>
      <c r="L62" s="124"/>
      <c r="M62" s="124"/>
      <c r="N62" s="124"/>
    </row>
    <row r="63" spans="1:14" ht="15.75">
      <c r="A63" s="10" t="s">
        <v>46</v>
      </c>
      <c r="B63" s="11" t="s">
        <v>518</v>
      </c>
      <c r="C63" s="24"/>
      <c r="D63" s="181"/>
      <c r="E63" s="181"/>
      <c r="F63" s="717"/>
      <c r="G63" s="181"/>
      <c r="H63" s="124"/>
      <c r="I63" s="124"/>
      <c r="J63" s="125"/>
      <c r="K63" s="124"/>
      <c r="L63" s="124"/>
      <c r="M63" s="124"/>
      <c r="N63" s="124"/>
    </row>
    <row r="64" spans="1:15" ht="30">
      <c r="A64" s="19">
        <v>1</v>
      </c>
      <c r="B64" s="14" t="s">
        <v>519</v>
      </c>
      <c r="C64" s="24" t="s">
        <v>242</v>
      </c>
      <c r="D64" s="6">
        <v>30700</v>
      </c>
      <c r="E64" s="6">
        <v>31000</v>
      </c>
      <c r="F64" s="718">
        <v>39132</v>
      </c>
      <c r="G64" s="6">
        <v>150</v>
      </c>
      <c r="H64" s="178">
        <v>47265</v>
      </c>
      <c r="I64" s="178">
        <v>47265</v>
      </c>
      <c r="J64" s="125"/>
      <c r="K64" s="124">
        <f>F64/H64*100</f>
        <v>82.79276420184068</v>
      </c>
      <c r="L64" s="124">
        <f t="shared" si="1"/>
        <v>82.79276420184068</v>
      </c>
      <c r="M64" s="178"/>
      <c r="N64" s="178">
        <v>47265</v>
      </c>
      <c r="O64" s="42">
        <v>42994</v>
      </c>
    </row>
    <row r="65" spans="1:15" ht="30">
      <c r="A65" s="19">
        <v>2</v>
      </c>
      <c r="B65" s="14" t="s">
        <v>520</v>
      </c>
      <c r="C65" s="24" t="s">
        <v>182</v>
      </c>
      <c r="D65" s="178">
        <v>33</v>
      </c>
      <c r="E65" s="178">
        <v>35</v>
      </c>
      <c r="F65" s="719">
        <v>40</v>
      </c>
      <c r="G65" s="178"/>
      <c r="H65" s="125">
        <v>35</v>
      </c>
      <c r="I65" s="125">
        <f>I64/104979*100</f>
        <v>45.02329037236019</v>
      </c>
      <c r="J65" s="125"/>
      <c r="K65" s="124">
        <f>F65/H65*100</f>
        <v>114.28571428571428</v>
      </c>
      <c r="L65" s="124">
        <f t="shared" si="1"/>
        <v>88.84290701364647</v>
      </c>
      <c r="M65" s="125"/>
      <c r="N65" s="125">
        <f>N64/104979*100</f>
        <v>45.02329037236019</v>
      </c>
      <c r="O65" s="42">
        <v>33</v>
      </c>
    </row>
    <row r="66" spans="1:15" ht="15.75">
      <c r="A66" s="19">
        <v>3</v>
      </c>
      <c r="B66" s="14" t="s">
        <v>521</v>
      </c>
      <c r="C66" s="24" t="s">
        <v>522</v>
      </c>
      <c r="D66" s="6">
        <v>4300</v>
      </c>
      <c r="E66" s="178">
        <v>4500</v>
      </c>
      <c r="F66" s="719">
        <v>6293</v>
      </c>
      <c r="G66" s="6"/>
      <c r="H66" s="178">
        <v>8085</v>
      </c>
      <c r="I66" s="178">
        <v>8085</v>
      </c>
      <c r="J66" s="125"/>
      <c r="K66" s="124">
        <f>F66/H66*100</f>
        <v>77.83549783549783</v>
      </c>
      <c r="L66" s="124">
        <f t="shared" si="1"/>
        <v>77.83549783549783</v>
      </c>
      <c r="M66" s="178"/>
      <c r="N66" s="178">
        <v>8085</v>
      </c>
      <c r="O66" s="42">
        <v>5840</v>
      </c>
    </row>
    <row r="67" spans="1:15" ht="30">
      <c r="A67" s="19">
        <v>4</v>
      </c>
      <c r="B67" s="14" t="s">
        <v>523</v>
      </c>
      <c r="C67" s="24" t="s">
        <v>182</v>
      </c>
      <c r="D67" s="125">
        <v>20</v>
      </c>
      <c r="E67" s="125"/>
      <c r="F67" s="704"/>
      <c r="G67" s="125">
        <v>0</v>
      </c>
      <c r="H67" s="125">
        <v>22</v>
      </c>
      <c r="I67" s="125">
        <v>22</v>
      </c>
      <c r="J67" s="125"/>
      <c r="K67" s="124"/>
      <c r="L67" s="124"/>
      <c r="M67" s="125"/>
      <c r="N67" s="125">
        <v>22</v>
      </c>
      <c r="O67" s="42">
        <v>20</v>
      </c>
    </row>
    <row r="68" spans="1:15" ht="15.75">
      <c r="A68" s="19">
        <v>5</v>
      </c>
      <c r="B68" s="14" t="s">
        <v>524</v>
      </c>
      <c r="C68" s="24" t="s">
        <v>491</v>
      </c>
      <c r="D68" s="125">
        <v>53</v>
      </c>
      <c r="E68" s="125">
        <v>55</v>
      </c>
      <c r="F68" s="704">
        <v>57</v>
      </c>
      <c r="G68" s="125">
        <v>53</v>
      </c>
      <c r="H68" s="125">
        <v>58</v>
      </c>
      <c r="I68" s="125">
        <v>58</v>
      </c>
      <c r="J68" s="125">
        <f t="shared" si="0"/>
        <v>107.54716981132076</v>
      </c>
      <c r="K68" s="124">
        <f>F68/H68*100</f>
        <v>98.27586206896551</v>
      </c>
      <c r="L68" s="124">
        <f t="shared" si="1"/>
        <v>98.27586206896551</v>
      </c>
      <c r="M68" s="125"/>
      <c r="N68" s="125">
        <v>58</v>
      </c>
      <c r="O68" s="42">
        <v>56</v>
      </c>
    </row>
    <row r="69" spans="1:14" ht="30">
      <c r="A69" s="19">
        <v>6</v>
      </c>
      <c r="B69" s="14" t="s">
        <v>525</v>
      </c>
      <c r="C69" s="24" t="s">
        <v>215</v>
      </c>
      <c r="D69" s="125">
        <v>53</v>
      </c>
      <c r="E69" s="125">
        <v>53</v>
      </c>
      <c r="F69" s="704">
        <v>53</v>
      </c>
      <c r="G69" s="125">
        <v>53</v>
      </c>
      <c r="H69" s="125"/>
      <c r="I69" s="125">
        <v>53</v>
      </c>
      <c r="J69" s="125">
        <f t="shared" si="0"/>
        <v>100</v>
      </c>
      <c r="K69" s="124"/>
      <c r="L69" s="124">
        <f t="shared" si="1"/>
        <v>100</v>
      </c>
      <c r="M69" s="125"/>
      <c r="N69" s="125">
        <v>53</v>
      </c>
    </row>
    <row r="70" spans="1:14" ht="15.75">
      <c r="A70" s="10" t="s">
        <v>53</v>
      </c>
      <c r="B70" s="11" t="s">
        <v>526</v>
      </c>
      <c r="C70" s="24"/>
      <c r="D70" s="125"/>
      <c r="E70" s="125"/>
      <c r="F70" s="704"/>
      <c r="G70" s="125"/>
      <c r="H70" s="124"/>
      <c r="I70" s="124"/>
      <c r="J70" s="125"/>
      <c r="K70" s="124"/>
      <c r="L70" s="124"/>
      <c r="M70" s="124"/>
      <c r="N70" s="124"/>
    </row>
    <row r="71" spans="1:14" ht="30">
      <c r="A71" s="19">
        <v>1</v>
      </c>
      <c r="B71" s="14" t="s">
        <v>527</v>
      </c>
      <c r="C71" s="24" t="s">
        <v>478</v>
      </c>
      <c r="D71" s="125">
        <v>7</v>
      </c>
      <c r="E71" s="125">
        <v>7</v>
      </c>
      <c r="F71" s="701"/>
      <c r="G71" s="125">
        <v>7</v>
      </c>
      <c r="H71" s="125"/>
      <c r="I71" s="125">
        <v>7</v>
      </c>
      <c r="J71" s="125"/>
      <c r="K71" s="124"/>
      <c r="L71" s="124"/>
      <c r="M71" s="125"/>
      <c r="N71" s="125">
        <v>7</v>
      </c>
    </row>
    <row r="72" spans="1:14" ht="15.75">
      <c r="A72" s="19">
        <v>2</v>
      </c>
      <c r="B72" s="14" t="s">
        <v>528</v>
      </c>
      <c r="C72" s="24" t="s">
        <v>478</v>
      </c>
      <c r="D72" s="125">
        <v>4</v>
      </c>
      <c r="E72" s="125">
        <v>4</v>
      </c>
      <c r="F72" s="701"/>
      <c r="G72" s="125">
        <v>4</v>
      </c>
      <c r="H72" s="125"/>
      <c r="I72" s="125">
        <v>4</v>
      </c>
      <c r="J72" s="125"/>
      <c r="K72" s="124"/>
      <c r="L72" s="124"/>
      <c r="M72" s="125"/>
      <c r="N72" s="125">
        <v>4</v>
      </c>
    </row>
    <row r="73" spans="1:14" ht="15.75">
      <c r="A73" s="10" t="s">
        <v>214</v>
      </c>
      <c r="B73" s="11" t="s">
        <v>529</v>
      </c>
      <c r="C73" s="40"/>
      <c r="D73" s="174"/>
      <c r="E73" s="174"/>
      <c r="F73" s="703"/>
      <c r="G73" s="174"/>
      <c r="H73" s="124"/>
      <c r="I73" s="124"/>
      <c r="J73" s="125"/>
      <c r="K73" s="124"/>
      <c r="L73" s="124"/>
      <c r="M73" s="124"/>
      <c r="N73" s="124"/>
    </row>
    <row r="74" spans="1:14" ht="15.75">
      <c r="A74" s="10">
        <v>1</v>
      </c>
      <c r="B74" s="11" t="s">
        <v>530</v>
      </c>
      <c r="C74" s="40"/>
      <c r="D74" s="125"/>
      <c r="E74" s="125"/>
      <c r="F74" s="704"/>
      <c r="G74" s="125"/>
      <c r="H74" s="124"/>
      <c r="I74" s="124"/>
      <c r="J74" s="125"/>
      <c r="K74" s="124"/>
      <c r="L74" s="124"/>
      <c r="M74" s="124"/>
      <c r="N74" s="124"/>
    </row>
    <row r="75" spans="1:14" ht="15.75">
      <c r="A75" s="19"/>
      <c r="B75" s="14" t="s">
        <v>531</v>
      </c>
      <c r="C75" s="24" t="s">
        <v>182</v>
      </c>
      <c r="D75" s="125">
        <v>100</v>
      </c>
      <c r="E75" s="125"/>
      <c r="F75" s="704">
        <v>100</v>
      </c>
      <c r="G75" s="125">
        <v>100</v>
      </c>
      <c r="H75" s="125"/>
      <c r="I75" s="125"/>
      <c r="J75" s="125">
        <f t="shared" si="0"/>
        <v>100</v>
      </c>
      <c r="K75" s="124"/>
      <c r="L75" s="124"/>
      <c r="M75" s="125"/>
      <c r="N75" s="125"/>
    </row>
    <row r="76" spans="1:14" ht="15.75">
      <c r="A76" s="19"/>
      <c r="B76" s="14" t="s">
        <v>532</v>
      </c>
      <c r="C76" s="24" t="s">
        <v>182</v>
      </c>
      <c r="D76" s="125">
        <v>100</v>
      </c>
      <c r="E76" s="125"/>
      <c r="F76" s="704">
        <v>100</v>
      </c>
      <c r="G76" s="125">
        <v>100</v>
      </c>
      <c r="H76" s="125"/>
      <c r="I76" s="125"/>
      <c r="J76" s="125">
        <f t="shared" si="0"/>
        <v>100</v>
      </c>
      <c r="K76" s="124"/>
      <c r="L76" s="124"/>
      <c r="M76" s="125"/>
      <c r="N76" s="125"/>
    </row>
    <row r="77" spans="1:14" ht="15.75">
      <c r="A77" s="10">
        <v>2</v>
      </c>
      <c r="B77" s="11" t="s">
        <v>533</v>
      </c>
      <c r="C77" s="40"/>
      <c r="D77" s="183"/>
      <c r="E77" s="183"/>
      <c r="F77" s="720"/>
      <c r="G77" s="183"/>
      <c r="H77" s="124"/>
      <c r="I77" s="124"/>
      <c r="J77" s="125"/>
      <c r="K77" s="124"/>
      <c r="L77" s="124"/>
      <c r="M77" s="124"/>
      <c r="N77" s="124"/>
    </row>
    <row r="78" spans="1:14" ht="15.75">
      <c r="A78" s="19"/>
      <c r="B78" s="14" t="s">
        <v>534</v>
      </c>
      <c r="C78" s="24" t="s">
        <v>23</v>
      </c>
      <c r="D78" s="125">
        <v>100</v>
      </c>
      <c r="E78" s="125">
        <v>100</v>
      </c>
      <c r="F78" s="704">
        <v>100</v>
      </c>
      <c r="G78" s="125">
        <v>100</v>
      </c>
      <c r="H78" s="125"/>
      <c r="I78" s="125">
        <v>100</v>
      </c>
      <c r="J78" s="125">
        <f t="shared" si="0"/>
        <v>100</v>
      </c>
      <c r="K78" s="124"/>
      <c r="L78" s="124">
        <f t="shared" si="1"/>
        <v>100</v>
      </c>
      <c r="M78" s="125"/>
      <c r="N78" s="125">
        <v>100</v>
      </c>
    </row>
    <row r="79" spans="1:14" ht="15.75">
      <c r="A79" s="19"/>
      <c r="B79" s="14" t="s">
        <v>535</v>
      </c>
      <c r="C79" s="24" t="s">
        <v>23</v>
      </c>
      <c r="D79" s="125">
        <v>100</v>
      </c>
      <c r="E79" s="125">
        <v>100</v>
      </c>
      <c r="F79" s="704">
        <v>100</v>
      </c>
      <c r="G79" s="125">
        <v>100</v>
      </c>
      <c r="H79" s="125"/>
      <c r="I79" s="125">
        <v>100</v>
      </c>
      <c r="J79" s="125">
        <f t="shared" si="0"/>
        <v>100</v>
      </c>
      <c r="K79" s="124"/>
      <c r="L79" s="124">
        <f t="shared" si="1"/>
        <v>100</v>
      </c>
      <c r="M79" s="125"/>
      <c r="N79" s="125">
        <v>100</v>
      </c>
    </row>
    <row r="80" spans="1:14" ht="15.75">
      <c r="A80" s="10">
        <v>3</v>
      </c>
      <c r="B80" s="11" t="s">
        <v>536</v>
      </c>
      <c r="C80" s="24"/>
      <c r="D80" s="124"/>
      <c r="E80" s="124"/>
      <c r="F80" s="702"/>
      <c r="G80" s="124"/>
      <c r="H80" s="124"/>
      <c r="I80" s="124"/>
      <c r="J80" s="125"/>
      <c r="K80" s="124"/>
      <c r="L80" s="124"/>
      <c r="M80" s="124"/>
      <c r="N80" s="124"/>
    </row>
    <row r="81" spans="1:14" ht="15.75">
      <c r="A81" s="19"/>
      <c r="B81" s="14" t="s">
        <v>537</v>
      </c>
      <c r="C81" s="24" t="s">
        <v>203</v>
      </c>
      <c r="D81" s="125">
        <v>21</v>
      </c>
      <c r="E81" s="125">
        <v>21</v>
      </c>
      <c r="F81" s="701">
        <v>21</v>
      </c>
      <c r="G81" s="125">
        <v>21</v>
      </c>
      <c r="H81" s="125"/>
      <c r="I81" s="125">
        <v>21</v>
      </c>
      <c r="J81" s="125">
        <f t="shared" si="0"/>
        <v>100</v>
      </c>
      <c r="K81" s="124"/>
      <c r="L81" s="124">
        <f t="shared" si="1"/>
        <v>100</v>
      </c>
      <c r="M81" s="125"/>
      <c r="N81" s="125">
        <v>21</v>
      </c>
    </row>
    <row r="82" spans="1:14" ht="15.75">
      <c r="A82" s="19"/>
      <c r="B82" s="14" t="s">
        <v>538</v>
      </c>
      <c r="C82" s="24" t="s">
        <v>182</v>
      </c>
      <c r="D82" s="125">
        <v>100</v>
      </c>
      <c r="E82" s="125">
        <v>100</v>
      </c>
      <c r="F82" s="701">
        <v>100</v>
      </c>
      <c r="G82" s="125">
        <v>100</v>
      </c>
      <c r="H82" s="125"/>
      <c r="I82" s="125">
        <v>100</v>
      </c>
      <c r="J82" s="125">
        <f aca="true" t="shared" si="2" ref="J82:J96">F82/G82*100</f>
        <v>100</v>
      </c>
      <c r="K82" s="124"/>
      <c r="L82" s="124">
        <f aca="true" t="shared" si="3" ref="L82:L97">F82/I82*100</f>
        <v>100</v>
      </c>
      <c r="M82" s="125"/>
      <c r="N82" s="125">
        <v>100</v>
      </c>
    </row>
    <row r="83" spans="1:14" ht="25.5">
      <c r="A83" s="19"/>
      <c r="B83" s="14" t="s">
        <v>539</v>
      </c>
      <c r="C83" s="24" t="s">
        <v>540</v>
      </c>
      <c r="D83" s="178">
        <v>5000</v>
      </c>
      <c r="E83" s="178">
        <v>5000</v>
      </c>
      <c r="F83" s="710">
        <v>5000</v>
      </c>
      <c r="G83" s="178">
        <v>5000</v>
      </c>
      <c r="H83" s="178"/>
      <c r="I83" s="178">
        <v>5000</v>
      </c>
      <c r="J83" s="125">
        <f t="shared" si="2"/>
        <v>100</v>
      </c>
      <c r="K83" s="124"/>
      <c r="L83" s="124">
        <f t="shared" si="3"/>
        <v>100</v>
      </c>
      <c r="M83" s="178"/>
      <c r="N83" s="178">
        <v>5000</v>
      </c>
    </row>
    <row r="84" spans="1:14" ht="15.75">
      <c r="A84" s="19"/>
      <c r="B84" s="14" t="s">
        <v>541</v>
      </c>
      <c r="C84" s="24" t="s">
        <v>542</v>
      </c>
      <c r="D84" s="125">
        <v>5</v>
      </c>
      <c r="E84" s="125">
        <v>4</v>
      </c>
      <c r="F84" s="701">
        <v>4</v>
      </c>
      <c r="G84" s="124">
        <v>5</v>
      </c>
      <c r="H84" s="125"/>
      <c r="I84" s="125">
        <v>4</v>
      </c>
      <c r="J84" s="125">
        <f t="shared" si="2"/>
        <v>80</v>
      </c>
      <c r="K84" s="124"/>
      <c r="L84" s="124">
        <f t="shared" si="3"/>
        <v>100</v>
      </c>
      <c r="M84" s="125"/>
      <c r="N84" s="125">
        <v>4</v>
      </c>
    </row>
    <row r="85" spans="1:14" ht="25.5">
      <c r="A85" s="19"/>
      <c r="B85" s="14" t="s">
        <v>543</v>
      </c>
      <c r="C85" s="24" t="s">
        <v>544</v>
      </c>
      <c r="D85" s="178">
        <v>3993</v>
      </c>
      <c r="E85" s="178">
        <v>5500</v>
      </c>
      <c r="F85" s="710">
        <v>2750</v>
      </c>
      <c r="G85" s="178">
        <v>5378</v>
      </c>
      <c r="H85" s="178"/>
      <c r="I85" s="178">
        <v>5500</v>
      </c>
      <c r="J85" s="125">
        <f t="shared" si="2"/>
        <v>51.13425065079955</v>
      </c>
      <c r="K85" s="124"/>
      <c r="L85" s="124">
        <f t="shared" si="3"/>
        <v>50</v>
      </c>
      <c r="M85" s="178"/>
      <c r="N85" s="178">
        <v>5500</v>
      </c>
    </row>
    <row r="86" spans="1:25" s="379" customFormat="1" ht="15.75">
      <c r="A86" s="10">
        <v>4</v>
      </c>
      <c r="B86" s="11" t="s">
        <v>686</v>
      </c>
      <c r="C86" s="22"/>
      <c r="D86" s="378"/>
      <c r="E86" s="378"/>
      <c r="F86" s="721"/>
      <c r="G86" s="124"/>
      <c r="H86" s="378"/>
      <c r="I86" s="378"/>
      <c r="J86" s="125"/>
      <c r="K86" s="124"/>
      <c r="L86" s="124"/>
      <c r="M86" s="378"/>
      <c r="N86" s="378"/>
      <c r="O86" s="108"/>
      <c r="P86" s="108"/>
      <c r="Q86" s="108"/>
      <c r="R86" s="172"/>
      <c r="S86" s="413"/>
      <c r="T86" s="66"/>
      <c r="U86" s="66"/>
      <c r="V86" s="66"/>
      <c r="W86" s="66"/>
      <c r="X86" s="66"/>
      <c r="Y86" s="66"/>
    </row>
    <row r="87" spans="1:14" ht="15.75">
      <c r="A87" s="10" t="s">
        <v>33</v>
      </c>
      <c r="B87" s="11" t="s">
        <v>545</v>
      </c>
      <c r="C87" s="24"/>
      <c r="D87" s="124"/>
      <c r="E87" s="124"/>
      <c r="F87" s="702"/>
      <c r="G87" s="178"/>
      <c r="H87" s="124"/>
      <c r="I87" s="124"/>
      <c r="J87" s="125"/>
      <c r="K87" s="124"/>
      <c r="L87" s="124"/>
      <c r="M87" s="124"/>
      <c r="N87" s="124"/>
    </row>
    <row r="88" spans="1:19" s="42" customFormat="1" ht="15.75">
      <c r="A88" s="19"/>
      <c r="B88" s="14" t="s">
        <v>546</v>
      </c>
      <c r="C88" s="24" t="s">
        <v>547</v>
      </c>
      <c r="D88" s="178">
        <v>90100</v>
      </c>
      <c r="E88" s="178">
        <v>94100</v>
      </c>
      <c r="F88" s="710">
        <v>94750</v>
      </c>
      <c r="G88" s="178">
        <v>98250</v>
      </c>
      <c r="H88" s="178"/>
      <c r="I88" s="178">
        <v>95000</v>
      </c>
      <c r="J88" s="125">
        <f t="shared" si="2"/>
        <v>96.43765903307889</v>
      </c>
      <c r="K88" s="124"/>
      <c r="L88" s="124">
        <f t="shared" si="3"/>
        <v>99.73684210526315</v>
      </c>
      <c r="M88" s="178"/>
      <c r="N88" s="178">
        <v>95000</v>
      </c>
      <c r="R88" s="119"/>
      <c r="S88" s="410">
        <f>J88/'BIỂU 04'!J74*100</f>
        <v>95.37175356104444</v>
      </c>
    </row>
    <row r="89" spans="1:19" s="42" customFormat="1" ht="25.5">
      <c r="A89" s="19"/>
      <c r="B89" s="14" t="s">
        <v>548</v>
      </c>
      <c r="C89" s="24" t="s">
        <v>549</v>
      </c>
      <c r="D89" s="174">
        <v>89.1</v>
      </c>
      <c r="E89" s="124">
        <f>(E88/103254)*100</f>
        <v>91.13448389408643</v>
      </c>
      <c r="F89" s="702">
        <f>E89</f>
        <v>91.13448389408643</v>
      </c>
      <c r="G89" s="174">
        <v>95.7</v>
      </c>
      <c r="H89" s="174"/>
      <c r="I89" s="174">
        <v>92.01</v>
      </c>
      <c r="J89" s="125">
        <f t="shared" si="2"/>
        <v>95.22934576184579</v>
      </c>
      <c r="K89" s="124"/>
      <c r="L89" s="124">
        <f t="shared" si="3"/>
        <v>99.04845548754095</v>
      </c>
      <c r="M89" s="174"/>
      <c r="N89" s="174">
        <v>92.01</v>
      </c>
      <c r="R89" s="119"/>
      <c r="S89" s="410"/>
    </row>
    <row r="90" spans="1:19" s="42" customFormat="1" ht="24.75" customHeight="1">
      <c r="A90" s="19"/>
      <c r="B90" s="14" t="s">
        <v>550</v>
      </c>
      <c r="C90" s="24" t="s">
        <v>570</v>
      </c>
      <c r="D90" s="125">
        <v>163</v>
      </c>
      <c r="E90" s="125">
        <v>168</v>
      </c>
      <c r="F90" s="701">
        <v>168</v>
      </c>
      <c r="G90" s="125">
        <v>163</v>
      </c>
      <c r="H90" s="125"/>
      <c r="I90" s="125">
        <v>169</v>
      </c>
      <c r="J90" s="125">
        <f t="shared" si="2"/>
        <v>103.06748466257669</v>
      </c>
      <c r="K90" s="124"/>
      <c r="L90" s="124">
        <f t="shared" si="3"/>
        <v>99.40828402366864</v>
      </c>
      <c r="M90" s="125"/>
      <c r="N90" s="125">
        <v>169</v>
      </c>
      <c r="R90" s="119"/>
      <c r="S90" s="410"/>
    </row>
    <row r="91" spans="1:19" s="42" customFormat="1" ht="15.75">
      <c r="A91" s="19"/>
      <c r="B91" s="14" t="s">
        <v>551</v>
      </c>
      <c r="C91" s="24" t="s">
        <v>261</v>
      </c>
      <c r="D91" s="125">
        <v>21</v>
      </c>
      <c r="E91" s="125">
        <v>21</v>
      </c>
      <c r="F91" s="701">
        <v>21</v>
      </c>
      <c r="G91" s="125">
        <v>21</v>
      </c>
      <c r="H91" s="125"/>
      <c r="I91" s="125">
        <v>21</v>
      </c>
      <c r="J91" s="125">
        <f t="shared" si="2"/>
        <v>100</v>
      </c>
      <c r="K91" s="124"/>
      <c r="L91" s="124">
        <f t="shared" si="3"/>
        <v>100</v>
      </c>
      <c r="M91" s="125"/>
      <c r="N91" s="125">
        <v>21</v>
      </c>
      <c r="R91" s="119"/>
      <c r="S91" s="410"/>
    </row>
    <row r="92" spans="1:19" s="42" customFormat="1" ht="15.75">
      <c r="A92" s="10" t="s">
        <v>35</v>
      </c>
      <c r="B92" s="11" t="s">
        <v>552</v>
      </c>
      <c r="C92" s="24"/>
      <c r="D92" s="125"/>
      <c r="E92" s="125"/>
      <c r="F92" s="701"/>
      <c r="G92" s="178"/>
      <c r="H92" s="125"/>
      <c r="I92" s="125"/>
      <c r="J92" s="125"/>
      <c r="K92" s="124"/>
      <c r="L92" s="124"/>
      <c r="M92" s="125"/>
      <c r="N92" s="125"/>
      <c r="R92" s="119"/>
      <c r="S92" s="410"/>
    </row>
    <row r="93" spans="1:19" s="42" customFormat="1" ht="15.75">
      <c r="A93" s="19"/>
      <c r="B93" s="14" t="s">
        <v>553</v>
      </c>
      <c r="C93" s="24" t="s">
        <v>554</v>
      </c>
      <c r="D93" s="178">
        <v>13734</v>
      </c>
      <c r="E93" s="178">
        <v>15250</v>
      </c>
      <c r="F93" s="710">
        <v>15525</v>
      </c>
      <c r="G93" s="178">
        <v>15173</v>
      </c>
      <c r="H93" s="178"/>
      <c r="I93" s="178">
        <v>15800</v>
      </c>
      <c r="J93" s="125">
        <f t="shared" si="2"/>
        <v>102.31991036709944</v>
      </c>
      <c r="K93" s="124"/>
      <c r="L93" s="124">
        <f t="shared" si="3"/>
        <v>98.25949367088607</v>
      </c>
      <c r="M93" s="178"/>
      <c r="N93" s="178">
        <v>15800</v>
      </c>
      <c r="R93" s="119"/>
      <c r="S93" s="410"/>
    </row>
    <row r="94" spans="1:14" ht="25.5">
      <c r="A94" s="19"/>
      <c r="B94" s="14" t="s">
        <v>555</v>
      </c>
      <c r="C94" s="24" t="s">
        <v>556</v>
      </c>
      <c r="D94" s="174">
        <v>13.1</v>
      </c>
      <c r="E94" s="174">
        <f>(E93/103254)*100</f>
        <v>14.769403606639935</v>
      </c>
      <c r="F94" s="703">
        <f>F93/'BIỂU 04'!F81*100</f>
        <v>14.869550226036319</v>
      </c>
      <c r="G94" s="174">
        <v>14.2</v>
      </c>
      <c r="H94" s="174"/>
      <c r="I94" s="174">
        <f>(I93/103254)*100</f>
        <v>15.302070621961377</v>
      </c>
      <c r="J94" s="125">
        <f t="shared" si="2"/>
        <v>104.7151424368755</v>
      </c>
      <c r="K94" s="124"/>
      <c r="L94" s="124">
        <f t="shared" si="3"/>
        <v>97.17345183792115</v>
      </c>
      <c r="M94" s="174"/>
      <c r="N94" s="174">
        <f>(N93/103254)*100</f>
        <v>15.302070621961377</v>
      </c>
    </row>
    <row r="95" spans="1:14" ht="15.75">
      <c r="A95" s="19"/>
      <c r="B95" s="14" t="s">
        <v>557</v>
      </c>
      <c r="C95" s="24" t="s">
        <v>261</v>
      </c>
      <c r="D95" s="125">
        <v>21</v>
      </c>
      <c r="E95" s="125">
        <v>21</v>
      </c>
      <c r="F95" s="701">
        <v>21</v>
      </c>
      <c r="G95" s="125">
        <v>21</v>
      </c>
      <c r="H95" s="125"/>
      <c r="I95" s="125">
        <v>21</v>
      </c>
      <c r="J95" s="125">
        <f t="shared" si="2"/>
        <v>100</v>
      </c>
      <c r="K95" s="124"/>
      <c r="L95" s="124">
        <f t="shared" si="3"/>
        <v>100</v>
      </c>
      <c r="M95" s="125"/>
      <c r="N95" s="125">
        <v>21</v>
      </c>
    </row>
    <row r="96" spans="1:19" s="42" customFormat="1" ht="31.5" customHeight="1">
      <c r="A96" s="19"/>
      <c r="B96" s="14" t="s">
        <v>558</v>
      </c>
      <c r="C96" s="41" t="s">
        <v>544</v>
      </c>
      <c r="D96" s="178">
        <v>8212</v>
      </c>
      <c r="E96" s="178">
        <v>8672</v>
      </c>
      <c r="F96" s="710">
        <v>7825</v>
      </c>
      <c r="G96" s="178">
        <v>4785</v>
      </c>
      <c r="H96" s="178"/>
      <c r="I96" s="178">
        <v>9500</v>
      </c>
      <c r="J96" s="125">
        <f t="shared" si="2"/>
        <v>163.53187042842214</v>
      </c>
      <c r="K96" s="124"/>
      <c r="L96" s="124">
        <f t="shared" si="3"/>
        <v>82.36842105263158</v>
      </c>
      <c r="M96" s="178"/>
      <c r="N96" s="178">
        <v>9500</v>
      </c>
      <c r="R96" s="119"/>
      <c r="S96" s="410"/>
    </row>
    <row r="97" spans="1:19" s="66" customFormat="1" ht="31.5" customHeight="1">
      <c r="A97" s="10" t="s">
        <v>281</v>
      </c>
      <c r="B97" s="11" t="s">
        <v>688</v>
      </c>
      <c r="C97" s="380" t="s">
        <v>544</v>
      </c>
      <c r="D97" s="378"/>
      <c r="E97" s="378">
        <v>62722</v>
      </c>
      <c r="F97" s="721">
        <v>37622</v>
      </c>
      <c r="G97" s="174"/>
      <c r="H97" s="378"/>
      <c r="I97" s="378">
        <v>63349</v>
      </c>
      <c r="J97" s="125"/>
      <c r="K97" s="124"/>
      <c r="L97" s="124">
        <f t="shared" si="3"/>
        <v>59.38846706341063</v>
      </c>
      <c r="M97" s="378"/>
      <c r="N97" s="378">
        <v>63349</v>
      </c>
      <c r="O97" s="108"/>
      <c r="P97" s="108"/>
      <c r="Q97" s="108"/>
      <c r="R97" s="172"/>
      <c r="S97" s="413"/>
    </row>
  </sheetData>
  <sheetProtection/>
  <mergeCells count="20">
    <mergeCell ref="A1:B1"/>
    <mergeCell ref="A2:N2"/>
    <mergeCell ref="A3:N3"/>
    <mergeCell ref="L1:N1"/>
    <mergeCell ref="A5:A8"/>
    <mergeCell ref="B5:B8"/>
    <mergeCell ref="C5:C8"/>
    <mergeCell ref="D5:D8"/>
    <mergeCell ref="E5:E8"/>
    <mergeCell ref="H5:I6"/>
    <mergeCell ref="H7:H8"/>
    <mergeCell ref="I7:I8"/>
    <mergeCell ref="F5:F8"/>
    <mergeCell ref="G5:G8"/>
    <mergeCell ref="N5:N8"/>
    <mergeCell ref="M5:M8"/>
    <mergeCell ref="J7:J8"/>
    <mergeCell ref="K7:K8"/>
    <mergeCell ref="J5:L6"/>
    <mergeCell ref="L7:L8"/>
  </mergeCells>
  <printOptions horizontalCentered="1"/>
  <pageMargins left="0" right="0" top="0.4" bottom="0.44" header="0.26" footer="0.2"/>
  <pageSetup firstPageNumber="19" useFirstPageNumber="1"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2024-06-07T02:03:04Z</cp:lastPrinted>
  <dcterms:created xsi:type="dcterms:W3CDTF">2021-11-02T07:25:36Z</dcterms:created>
  <dcterms:modified xsi:type="dcterms:W3CDTF">2024-06-07T02:53:34Z</dcterms:modified>
  <cp:category/>
  <cp:version/>
  <cp:contentType/>
  <cp:contentStatus/>
</cp:coreProperties>
</file>